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estusrijeka.sharepoint.com/sites/financijskosavjetovanje/Zajednicki dokumenti/4. Proizvodnja/Obrasci/Evidencija radnih sati/"/>
    </mc:Choice>
  </mc:AlternateContent>
  <xr:revisionPtr revIDLastSave="130" documentId="13_ncr:1_{6E2CBDC4-C8B4-4CB3-9702-F94C6EBF5651}" xr6:coauthVersionLast="47" xr6:coauthVersionMax="47" xr10:uidLastSave="{7049D700-D8AD-4EC4-ADD6-EB90B5CB537E}"/>
  <bookViews>
    <workbookView xWindow="28680" yWindow="-120" windowWidth="29040" windowHeight="15720" xr2:uid="{00000000-000D-0000-FFFF-FFFF00000000}"/>
  </bookViews>
  <sheets>
    <sheet name="2025" sheetId="1" r:id="rId1"/>
    <sheet name="General information" sheetId="2" r:id="rId2"/>
    <sheet name="January" sheetId="3" r:id="rId3"/>
    <sheet name="February" sheetId="4" r:id="rId4"/>
    <sheet name="March" sheetId="5" r:id="rId5"/>
    <sheet name="April" sheetId="6" r:id="rId6"/>
    <sheet name="May" sheetId="7" r:id="rId7"/>
    <sheet name="June" sheetId="8" r:id="rId8"/>
    <sheet name="July" sheetId="9" r:id="rId9"/>
    <sheet name="August" sheetId="10" r:id="rId10"/>
    <sheet name="September" sheetId="11" r:id="rId11"/>
    <sheet name="October" sheetId="12" r:id="rId12"/>
    <sheet name="November" sheetId="13" r:id="rId13"/>
    <sheet name="December" sheetId="14" r:id="rId14"/>
    <sheet name="Human resources" sheetId="15" r:id="rId15"/>
    <sheet name="List1" sheetId="16" r:id="rId16"/>
  </sheets>
  <definedNames>
    <definedName name="AprSun1">DATEVALUE("1/4/"&amp;'2025'!$B$1)-WEEKDAY(DATEVALUE("1/4/"&amp;'2025'!$B$1))+2</definedName>
    <definedName name="AugSun1">DATEVALUE("1/8/"&amp;'2025'!$B$1)-WEEKDAY(DATEVALUE("1/8/"&amp;'2025'!$B$1))-5</definedName>
    <definedName name="DecSun1">DATEVALUE("1/12/"&amp;'2025'!$B$1)-WEEKDAY(DATEVALUE("1/12/"&amp;'2025'!$B$1))+2</definedName>
    <definedName name="FebSun1">DATEVALUE("1/2/"&amp;'2025'!$B$1)-WEEKDAY(DATEVALUE("1/2/"&amp;'2025'!$B$1))+2</definedName>
    <definedName name="JanSun1">DATEVALUE("1/1/"&amp;'2025'!$B$1)-WEEKDAY(DATEVALUE("1/1/"&amp;'2025'!$B$1))+2</definedName>
    <definedName name="JulSun1">DATEVALUE("1/7/"&amp;'2025'!$B$1)-WEEKDAY(DATEVALUE("1/7/"&amp;'2025'!$B$1))+2</definedName>
    <definedName name="JunSun1">DATEVALUE("1/6/"&amp;'2025'!$B$1)-WEEKDAY(DATEVALUE("1/6/"&amp;'2025'!$B$1))+2</definedName>
    <definedName name="MarSun1">DATEVALUE("1/3/"&amp;'2025'!$B$1)-WEEKDAY(DATEVALUE("1/3/"&amp;'2025'!$B$1))+2</definedName>
    <definedName name="MaySun1">DATEVALUE("1/5/"&amp;'2025'!$B$1)-WEEKDAY(DATEVALUE("1/5/"&amp;'2025'!$B$1))+2</definedName>
    <definedName name="NovSun1">DATEVALUE("1/11/"&amp;'2025'!$B$1)-WEEKDAY(DATEVALUE("1/11/"&amp;'2025'!$B$1))+2</definedName>
    <definedName name="OctSun1">DATEVALUE("1/10/"&amp;'2025'!$B$1)-WEEKDAY(DATEVALUE("1/10/"&amp;'2025'!$B$1))+2</definedName>
    <definedName name="SepSun1">DATEVALUE("1/9/"&amp;'2025'!$B$1)-WEEKDAY(DATEVALUE("1/9/"&amp;'2025'!$B$1))+2</definedName>
    <definedName name="Year">'2025'!$B$1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0" i="1" l="1"/>
  <c r="AN28" i="1"/>
  <c r="AM28" i="1"/>
  <c r="AL28" i="1"/>
  <c r="AK28" i="1"/>
  <c r="AJ28" i="1"/>
  <c r="AN27" i="1"/>
  <c r="AM27" i="1"/>
  <c r="AL27" i="1"/>
  <c r="AK27" i="1"/>
  <c r="AJ27" i="1"/>
  <c r="AN26" i="1"/>
  <c r="AM26" i="1"/>
  <c r="AL26" i="1"/>
  <c r="AK26" i="1"/>
  <c r="AJ26" i="1"/>
  <c r="AN25" i="1"/>
  <c r="AM25" i="1"/>
  <c r="AL25" i="1"/>
  <c r="AK25" i="1"/>
  <c r="AJ25" i="1"/>
  <c r="AN24" i="1"/>
  <c r="AM24" i="1"/>
  <c r="AL24" i="1"/>
  <c r="AK24" i="1"/>
  <c r="AJ24" i="1"/>
  <c r="AN23" i="1"/>
  <c r="AM23" i="1"/>
  <c r="AL23" i="1"/>
  <c r="AK23" i="1"/>
  <c r="AJ23" i="1"/>
  <c r="AN22" i="1"/>
  <c r="AM22" i="1"/>
  <c r="AL22" i="1"/>
  <c r="AK22" i="1"/>
  <c r="AJ22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X3" i="1"/>
  <c r="W3" i="1"/>
  <c r="V3" i="1"/>
  <c r="U3" i="1"/>
  <c r="T3" i="1"/>
  <c r="P9" i="1"/>
  <c r="O9" i="1"/>
  <c r="N9" i="1"/>
  <c r="M9" i="1"/>
  <c r="L9" i="1"/>
  <c r="P8" i="1"/>
  <c r="O8" i="1"/>
  <c r="N8" i="1"/>
  <c r="M8" i="1"/>
  <c r="L8" i="1"/>
  <c r="P7" i="1"/>
  <c r="O7" i="1"/>
  <c r="N7" i="1"/>
  <c r="M7" i="1"/>
  <c r="L7" i="1"/>
  <c r="P6" i="1"/>
  <c r="O6" i="1"/>
  <c r="N6" i="1"/>
  <c r="M6" i="1"/>
  <c r="L6" i="1"/>
  <c r="P5" i="1"/>
  <c r="O5" i="1"/>
  <c r="N5" i="1"/>
  <c r="M5" i="1"/>
  <c r="L5" i="1"/>
  <c r="P4" i="1"/>
  <c r="O4" i="1"/>
  <c r="N4" i="1"/>
  <c r="M4" i="1"/>
  <c r="L4" i="1"/>
  <c r="P3" i="1"/>
  <c r="O3" i="1"/>
  <c r="N3" i="1"/>
  <c r="M3" i="1"/>
  <c r="L3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AD11" i="1"/>
  <c r="AE11" i="1"/>
  <c r="G20" i="2"/>
  <c r="F20" i="2"/>
  <c r="H20" i="2" s="1"/>
  <c r="E20" i="2"/>
  <c r="G19" i="2"/>
  <c r="F19" i="2"/>
  <c r="H19" i="2" s="1"/>
  <c r="E19" i="2"/>
  <c r="G18" i="2"/>
  <c r="F18" i="2"/>
  <c r="H18" i="2" s="1"/>
  <c r="E18" i="2"/>
  <c r="G17" i="2"/>
  <c r="F17" i="2"/>
  <c r="H17" i="2" s="1"/>
  <c r="E17" i="2"/>
  <c r="G16" i="2"/>
  <c r="F16" i="2"/>
  <c r="H16" i="2" s="1"/>
  <c r="E16" i="2"/>
  <c r="G15" i="2"/>
  <c r="F15" i="2"/>
  <c r="H15" i="2" s="1"/>
  <c r="E15" i="2"/>
  <c r="G14" i="2"/>
  <c r="F14" i="2"/>
  <c r="H14" i="2" s="1"/>
  <c r="E14" i="2"/>
  <c r="G13" i="2"/>
  <c r="F13" i="2"/>
  <c r="H13" i="2" s="1"/>
  <c r="E13" i="2"/>
  <c r="G12" i="2"/>
  <c r="F12" i="2"/>
  <c r="H12" i="2" s="1"/>
  <c r="E12" i="2"/>
  <c r="G11" i="2"/>
  <c r="F11" i="2"/>
  <c r="H11" i="2" s="1"/>
  <c r="E11" i="2"/>
  <c r="G10" i="2"/>
  <c r="F10" i="2"/>
  <c r="H10" i="2" s="1"/>
  <c r="G9" i="2"/>
  <c r="F9" i="2"/>
  <c r="H9" i="2" s="1"/>
  <c r="E9" i="2"/>
  <c r="AH41" i="4" l="1"/>
  <c r="AJ41" i="3"/>
  <c r="A2" i="4"/>
  <c r="A2" i="5"/>
  <c r="A2" i="6"/>
  <c r="A2" i="7"/>
  <c r="A2" i="8"/>
  <c r="A2" i="9"/>
  <c r="A2" i="10"/>
  <c r="A2" i="11"/>
  <c r="A2" i="12"/>
  <c r="A2" i="13"/>
  <c r="A2" i="14"/>
  <c r="A2" i="3"/>
  <c r="Q3" i="4"/>
  <c r="Q3" i="5"/>
  <c r="Q3" i="6"/>
  <c r="Q3" i="7"/>
  <c r="Q3" i="8"/>
  <c r="Q3" i="9"/>
  <c r="Q3" i="10"/>
  <c r="Q3" i="11"/>
  <c r="Q3" i="12"/>
  <c r="Q3" i="13"/>
  <c r="Q3" i="14"/>
  <c r="Q3" i="3"/>
  <c r="F7" i="14"/>
  <c r="G7" i="14" s="1"/>
  <c r="H7" i="14" s="1"/>
  <c r="I7" i="14" s="1"/>
  <c r="J7" i="14" s="1"/>
  <c r="K7" i="14" s="1"/>
  <c r="L7" i="14" s="1"/>
  <c r="M7" i="14" s="1"/>
  <c r="N7" i="14" s="1"/>
  <c r="O7" i="14" s="1"/>
  <c r="P7" i="14" s="1"/>
  <c r="Q7" i="14" s="1"/>
  <c r="R7" i="14" s="1"/>
  <c r="S7" i="14" s="1"/>
  <c r="T7" i="14" s="1"/>
  <c r="U7" i="14" s="1"/>
  <c r="V7" i="14" s="1"/>
  <c r="W7" i="14" s="1"/>
  <c r="X7" i="14" s="1"/>
  <c r="Y7" i="14" s="1"/>
  <c r="Z7" i="14" s="1"/>
  <c r="AA7" i="14" s="1"/>
  <c r="AB7" i="14" s="1"/>
  <c r="AC7" i="14" s="1"/>
  <c r="AD7" i="14" s="1"/>
  <c r="AE7" i="14" s="1"/>
  <c r="AF7" i="14" s="1"/>
  <c r="AG7" i="14" s="1"/>
  <c r="AH7" i="14" s="1"/>
  <c r="AI7" i="14" s="1"/>
  <c r="F7" i="13"/>
  <c r="G7" i="13" s="1"/>
  <c r="H7" i="13" s="1"/>
  <c r="I7" i="13" s="1"/>
  <c r="J7" i="13" s="1"/>
  <c r="K7" i="13" s="1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AH7" i="13" s="1"/>
  <c r="F7" i="12"/>
  <c r="G7" i="12" s="1"/>
  <c r="H7" i="12" s="1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S7" i="12" s="1"/>
  <c r="T7" i="12" s="1"/>
  <c r="U7" i="12" s="1"/>
  <c r="V7" i="12" s="1"/>
  <c r="W7" i="12" s="1"/>
  <c r="X7" i="12" s="1"/>
  <c r="Y7" i="12" s="1"/>
  <c r="Z7" i="12" s="1"/>
  <c r="AA7" i="12" s="1"/>
  <c r="AB7" i="12" s="1"/>
  <c r="AC7" i="12" s="1"/>
  <c r="AD7" i="12" s="1"/>
  <c r="AE7" i="12" s="1"/>
  <c r="AF7" i="12" s="1"/>
  <c r="AG7" i="12" s="1"/>
  <c r="AH7" i="12" s="1"/>
  <c r="AI7" i="12" s="1"/>
  <c r="F7" i="11"/>
  <c r="G7" i="11" s="1"/>
  <c r="H7" i="11" s="1"/>
  <c r="I7" i="11" s="1"/>
  <c r="J7" i="11" s="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  <c r="AH7" i="11" s="1"/>
  <c r="F7" i="10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AI7" i="10" s="1"/>
  <c r="F7" i="9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AH7" i="9" s="1"/>
  <c r="AI7" i="9" s="1"/>
  <c r="F7" i="8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F7" i="7"/>
  <c r="G7" i="7" s="1"/>
  <c r="H7" i="7" s="1"/>
  <c r="I7" i="7" s="1"/>
  <c r="J7" i="7" s="1"/>
  <c r="K7" i="7" s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AG7" i="7" s="1"/>
  <c r="AH7" i="7" s="1"/>
  <c r="AI7" i="7" s="1"/>
  <c r="F7" i="6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F7" i="5"/>
  <c r="G7" i="5" s="1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I7" i="5" s="1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F7" i="3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E12" i="6" l="1"/>
  <c r="AJ13" i="14"/>
  <c r="AJ14" i="14"/>
  <c r="AJ15" i="14"/>
  <c r="AJ16" i="14"/>
  <c r="AJ17" i="14"/>
  <c r="AJ18" i="14"/>
  <c r="AJ41" i="14" s="1"/>
  <c r="AJ19" i="14"/>
  <c r="AJ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AJ38" i="14"/>
  <c r="AJ39" i="14"/>
  <c r="AJ40" i="14"/>
  <c r="AI23" i="13"/>
  <c r="AI24" i="13"/>
  <c r="AI25" i="13"/>
  <c r="AI26" i="13"/>
  <c r="AI27" i="13"/>
  <c r="AI28" i="13"/>
  <c r="AI29" i="13"/>
  <c r="AI30" i="13"/>
  <c r="AI31" i="13"/>
  <c r="AI32" i="13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41" i="12" s="1"/>
  <c r="AJ31" i="12"/>
  <c r="AJ32" i="12"/>
  <c r="AJ33" i="12"/>
  <c r="AJ34" i="12"/>
  <c r="AJ35" i="12"/>
  <c r="AJ36" i="12"/>
  <c r="AJ37" i="12"/>
  <c r="AJ38" i="12"/>
  <c r="AJ39" i="12"/>
  <c r="AJ40" i="12"/>
  <c r="AI23" i="11"/>
  <c r="AI24" i="11"/>
  <c r="AI25" i="11"/>
  <c r="AI26" i="11"/>
  <c r="AI27" i="11"/>
  <c r="AI28" i="11"/>
  <c r="AI29" i="11"/>
  <c r="AI30" i="11"/>
  <c r="AI31" i="11"/>
  <c r="AI32" i="11"/>
  <c r="AI33" i="11"/>
  <c r="AJ41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27" i="10"/>
  <c r="AJ28" i="10"/>
  <c r="AJ29" i="10"/>
  <c r="AJ30" i="10"/>
  <c r="AJ31" i="10"/>
  <c r="AJ32" i="10"/>
  <c r="AJ33" i="10"/>
  <c r="AJ34" i="10"/>
  <c r="AJ35" i="10"/>
  <c r="AJ36" i="10"/>
  <c r="AJ37" i="10"/>
  <c r="AJ38" i="10"/>
  <c r="AJ39" i="10"/>
  <c r="AJ40" i="10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I23" i="8"/>
  <c r="AI24" i="8"/>
  <c r="AI25" i="8"/>
  <c r="AI26" i="8"/>
  <c r="AI27" i="8"/>
  <c r="AI28" i="8"/>
  <c r="AI29" i="8"/>
  <c r="AI30" i="8"/>
  <c r="AI31" i="8"/>
  <c r="AI32" i="8"/>
  <c r="AJ13" i="7"/>
  <c r="AJ14" i="7"/>
  <c r="AJ15" i="7"/>
  <c r="AJ16" i="7"/>
  <c r="AJ17" i="7"/>
  <c r="AJ18" i="7"/>
  <c r="AJ41" i="7" s="1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I23" i="6"/>
  <c r="AI24" i="6"/>
  <c r="AI25" i="6"/>
  <c r="AI26" i="6"/>
  <c r="AI27" i="6"/>
  <c r="AI28" i="6"/>
  <c r="AI29" i="6"/>
  <c r="AI30" i="6"/>
  <c r="AI31" i="6"/>
  <c r="AI32" i="6"/>
  <c r="AH23" i="4"/>
  <c r="AH24" i="4"/>
  <c r="AH25" i="4"/>
  <c r="AH26" i="4"/>
  <c r="AH27" i="4"/>
  <c r="AH28" i="4"/>
  <c r="AH29" i="4"/>
  <c r="AH30" i="4"/>
  <c r="AH31" i="4"/>
  <c r="AH32" i="4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T31" i="1"/>
  <c r="AL31" i="1"/>
  <c r="N31" i="1"/>
  <c r="M31" i="1"/>
  <c r="AV28" i="1"/>
  <c r="AU28" i="1"/>
  <c r="AT28" i="1"/>
  <c r="AS28" i="1"/>
  <c r="AR28" i="1"/>
  <c r="AQ28" i="1"/>
  <c r="AF28" i="1"/>
  <c r="AE28" i="1"/>
  <c r="AD28" i="1"/>
  <c r="AC28" i="1"/>
  <c r="AB28" i="1"/>
  <c r="AA28" i="1"/>
  <c r="X28" i="1"/>
  <c r="W28" i="1"/>
  <c r="V28" i="1"/>
  <c r="U28" i="1"/>
  <c r="T28" i="1"/>
  <c r="S28" i="1"/>
  <c r="H28" i="1"/>
  <c r="G28" i="1"/>
  <c r="F28" i="1"/>
  <c r="E28" i="1"/>
  <c r="D28" i="1"/>
  <c r="C28" i="1"/>
  <c r="AV27" i="1"/>
  <c r="AU27" i="1"/>
  <c r="AT27" i="1"/>
  <c r="AS27" i="1"/>
  <c r="AR27" i="1"/>
  <c r="AQ27" i="1"/>
  <c r="AF27" i="1"/>
  <c r="AE27" i="1"/>
  <c r="AD27" i="1"/>
  <c r="AC27" i="1"/>
  <c r="AB27" i="1"/>
  <c r="AA27" i="1"/>
  <c r="X27" i="1"/>
  <c r="W27" i="1"/>
  <c r="V27" i="1"/>
  <c r="U27" i="1"/>
  <c r="T27" i="1"/>
  <c r="S27" i="1"/>
  <c r="H27" i="1"/>
  <c r="G27" i="1"/>
  <c r="F27" i="1"/>
  <c r="E27" i="1"/>
  <c r="D27" i="1"/>
  <c r="C27" i="1"/>
  <c r="AV26" i="1"/>
  <c r="AU26" i="1"/>
  <c r="AT26" i="1"/>
  <c r="AS26" i="1"/>
  <c r="AR26" i="1"/>
  <c r="AQ26" i="1"/>
  <c r="AF26" i="1"/>
  <c r="AE26" i="1"/>
  <c r="AD26" i="1"/>
  <c r="AC26" i="1"/>
  <c r="AB26" i="1"/>
  <c r="AA26" i="1"/>
  <c r="X26" i="1"/>
  <c r="W26" i="1"/>
  <c r="V26" i="1"/>
  <c r="U26" i="1"/>
  <c r="T26" i="1"/>
  <c r="S26" i="1"/>
  <c r="H26" i="1"/>
  <c r="G26" i="1"/>
  <c r="F26" i="1"/>
  <c r="E26" i="1"/>
  <c r="D26" i="1"/>
  <c r="C26" i="1"/>
  <c r="AV25" i="1"/>
  <c r="AU25" i="1"/>
  <c r="AT25" i="1"/>
  <c r="AS25" i="1"/>
  <c r="AR25" i="1"/>
  <c r="AQ25" i="1"/>
  <c r="AF25" i="1"/>
  <c r="AE25" i="1"/>
  <c r="AD25" i="1"/>
  <c r="AC25" i="1"/>
  <c r="AB25" i="1"/>
  <c r="AA25" i="1"/>
  <c r="X25" i="1"/>
  <c r="W25" i="1"/>
  <c r="V25" i="1"/>
  <c r="U25" i="1"/>
  <c r="T25" i="1"/>
  <c r="S25" i="1"/>
  <c r="H25" i="1"/>
  <c r="G25" i="1"/>
  <c r="F25" i="1"/>
  <c r="E25" i="1"/>
  <c r="D25" i="1"/>
  <c r="C25" i="1"/>
  <c r="AV24" i="1"/>
  <c r="AU24" i="1"/>
  <c r="AT24" i="1"/>
  <c r="AS24" i="1"/>
  <c r="AR24" i="1"/>
  <c r="AQ24" i="1"/>
  <c r="AF24" i="1"/>
  <c r="AE24" i="1"/>
  <c r="AD24" i="1"/>
  <c r="AC24" i="1"/>
  <c r="AB24" i="1"/>
  <c r="AA24" i="1"/>
  <c r="X24" i="1"/>
  <c r="W24" i="1"/>
  <c r="V24" i="1"/>
  <c r="U24" i="1"/>
  <c r="T24" i="1"/>
  <c r="S24" i="1"/>
  <c r="H24" i="1"/>
  <c r="G24" i="1"/>
  <c r="F24" i="1"/>
  <c r="E24" i="1"/>
  <c r="D24" i="1"/>
  <c r="C24" i="1"/>
  <c r="AV23" i="1"/>
  <c r="AU23" i="1"/>
  <c r="AT23" i="1"/>
  <c r="AS23" i="1"/>
  <c r="AR23" i="1"/>
  <c r="AQ23" i="1"/>
  <c r="AF23" i="1"/>
  <c r="AE23" i="1"/>
  <c r="AD23" i="1"/>
  <c r="AC23" i="1"/>
  <c r="AB23" i="1"/>
  <c r="AA23" i="1"/>
  <c r="X23" i="1"/>
  <c r="W23" i="1"/>
  <c r="V23" i="1"/>
  <c r="U23" i="1"/>
  <c r="T23" i="1"/>
  <c r="S23" i="1"/>
  <c r="H23" i="1"/>
  <c r="G23" i="1"/>
  <c r="F23" i="1"/>
  <c r="E23" i="1"/>
  <c r="D23" i="1"/>
  <c r="C23" i="1"/>
  <c r="AV22" i="1"/>
  <c r="AV29" i="1" s="1"/>
  <c r="AV30" i="1" s="1"/>
  <c r="AV31" i="1" s="1"/>
  <c r="AU22" i="1"/>
  <c r="AU29" i="1" s="1"/>
  <c r="AU30" i="1" s="1"/>
  <c r="AT22" i="1"/>
  <c r="AT29" i="1" s="1"/>
  <c r="AT32" i="1" s="1"/>
  <c r="AS22" i="1"/>
  <c r="AR22" i="1"/>
  <c r="AR29" i="1" s="1"/>
  <c r="AQ22" i="1"/>
  <c r="AQ29" i="1" s="1"/>
  <c r="AN29" i="1"/>
  <c r="AM29" i="1"/>
  <c r="AL29" i="1"/>
  <c r="AL32" i="1" s="1"/>
  <c r="AK29" i="1"/>
  <c r="AJ29" i="1"/>
  <c r="AI29" i="1"/>
  <c r="AI30" i="1" s="1"/>
  <c r="AI31" i="1" s="1"/>
  <c r="AF22" i="1"/>
  <c r="AF29" i="1" s="1"/>
  <c r="AF30" i="1" s="1"/>
  <c r="AF31" i="1" s="1"/>
  <c r="AE22" i="1"/>
  <c r="AD22" i="1"/>
  <c r="AD29" i="1" s="1"/>
  <c r="AD30" i="1" s="1"/>
  <c r="AD31" i="1" s="1"/>
  <c r="AC22" i="1"/>
  <c r="AC29" i="1" s="1"/>
  <c r="AC30" i="1" s="1"/>
  <c r="AC31" i="1" s="1"/>
  <c r="AB22" i="1"/>
  <c r="AB29" i="1" s="1"/>
  <c r="AB30" i="1" s="1"/>
  <c r="AB31" i="1" s="1"/>
  <c r="AA22" i="1"/>
  <c r="AA29" i="1" s="1"/>
  <c r="X22" i="1"/>
  <c r="X29" i="1" s="1"/>
  <c r="W22" i="1"/>
  <c r="V22" i="1"/>
  <c r="V29" i="1" s="1"/>
  <c r="U22" i="1"/>
  <c r="T22" i="1"/>
  <c r="T29" i="1" s="1"/>
  <c r="S22" i="1"/>
  <c r="S29" i="1" s="1"/>
  <c r="S30" i="1" s="1"/>
  <c r="S31" i="1" s="1"/>
  <c r="P29" i="1"/>
  <c r="P30" i="1" s="1"/>
  <c r="O29" i="1"/>
  <c r="O30" i="1" s="1"/>
  <c r="N29" i="1"/>
  <c r="N32" i="1" s="1"/>
  <c r="M29" i="1"/>
  <c r="M32" i="1" s="1"/>
  <c r="K29" i="1"/>
  <c r="H22" i="1"/>
  <c r="G22" i="1"/>
  <c r="G29" i="1" s="1"/>
  <c r="F22" i="1"/>
  <c r="E22" i="1"/>
  <c r="D22" i="1"/>
  <c r="D29" i="1" s="1"/>
  <c r="C22" i="1"/>
  <c r="C29" i="1" s="1"/>
  <c r="C30" i="1" s="1"/>
  <c r="C31" i="1" s="1"/>
  <c r="AS12" i="1"/>
  <c r="AM12" i="1"/>
  <c r="AI12" i="1"/>
  <c r="AD12" i="1"/>
  <c r="D12" i="1"/>
  <c r="C12" i="1"/>
  <c r="AV9" i="1"/>
  <c r="AU9" i="1"/>
  <c r="AT9" i="1"/>
  <c r="AS9" i="1"/>
  <c r="AR9" i="1"/>
  <c r="AQ9" i="1"/>
  <c r="AN9" i="1"/>
  <c r="AM9" i="1"/>
  <c r="AL9" i="1"/>
  <c r="AK9" i="1"/>
  <c r="AJ9" i="1"/>
  <c r="AI9" i="1"/>
  <c r="AF9" i="1"/>
  <c r="AE9" i="1"/>
  <c r="AD9" i="1"/>
  <c r="AC9" i="1"/>
  <c r="AB9" i="1"/>
  <c r="AA9" i="1"/>
  <c r="H9" i="1"/>
  <c r="G9" i="1"/>
  <c r="F9" i="1"/>
  <c r="E9" i="1"/>
  <c r="D9" i="1"/>
  <c r="C9" i="1"/>
  <c r="AV8" i="1"/>
  <c r="AU8" i="1"/>
  <c r="AT8" i="1"/>
  <c r="AS8" i="1"/>
  <c r="AR8" i="1"/>
  <c r="AQ8" i="1"/>
  <c r="AN8" i="1"/>
  <c r="AM8" i="1"/>
  <c r="AL8" i="1"/>
  <c r="AK8" i="1"/>
  <c r="AJ8" i="1"/>
  <c r="AI8" i="1"/>
  <c r="AF8" i="1"/>
  <c r="AE8" i="1"/>
  <c r="AD8" i="1"/>
  <c r="AC8" i="1"/>
  <c r="AB8" i="1"/>
  <c r="AA8" i="1"/>
  <c r="H8" i="1"/>
  <c r="G8" i="1"/>
  <c r="F8" i="1"/>
  <c r="E8" i="1"/>
  <c r="D8" i="1"/>
  <c r="C8" i="1"/>
  <c r="AV7" i="1"/>
  <c r="AU7" i="1"/>
  <c r="AT7" i="1"/>
  <c r="AS7" i="1"/>
  <c r="AR7" i="1"/>
  <c r="AQ7" i="1"/>
  <c r="AN7" i="1"/>
  <c r="AM7" i="1"/>
  <c r="AL7" i="1"/>
  <c r="AK7" i="1"/>
  <c r="AJ7" i="1"/>
  <c r="AI7" i="1"/>
  <c r="AF7" i="1"/>
  <c r="AE7" i="1"/>
  <c r="AD7" i="1"/>
  <c r="AC7" i="1"/>
  <c r="AB7" i="1"/>
  <c r="AA7" i="1"/>
  <c r="H7" i="1"/>
  <c r="G7" i="1"/>
  <c r="F7" i="1"/>
  <c r="E7" i="1"/>
  <c r="D7" i="1"/>
  <c r="C7" i="1"/>
  <c r="AV6" i="1"/>
  <c r="AU6" i="1"/>
  <c r="AT6" i="1"/>
  <c r="AS6" i="1"/>
  <c r="AR6" i="1"/>
  <c r="AQ6" i="1"/>
  <c r="AN6" i="1"/>
  <c r="AM6" i="1"/>
  <c r="AL6" i="1"/>
  <c r="AK6" i="1"/>
  <c r="AJ6" i="1"/>
  <c r="AI6" i="1"/>
  <c r="AF6" i="1"/>
  <c r="AE6" i="1"/>
  <c r="AD6" i="1"/>
  <c r="AC6" i="1"/>
  <c r="AB6" i="1"/>
  <c r="AA6" i="1"/>
  <c r="H6" i="1"/>
  <c r="G6" i="1"/>
  <c r="F6" i="1"/>
  <c r="E6" i="1"/>
  <c r="D6" i="1"/>
  <c r="C6" i="1"/>
  <c r="AV5" i="1"/>
  <c r="AU5" i="1"/>
  <c r="AT5" i="1"/>
  <c r="AS5" i="1"/>
  <c r="AR5" i="1"/>
  <c r="AQ5" i="1"/>
  <c r="AN5" i="1"/>
  <c r="AM5" i="1"/>
  <c r="AL5" i="1"/>
  <c r="AK5" i="1"/>
  <c r="AJ5" i="1"/>
  <c r="AI5" i="1"/>
  <c r="AF5" i="1"/>
  <c r="AE5" i="1"/>
  <c r="AD5" i="1"/>
  <c r="AC5" i="1"/>
  <c r="AB5" i="1"/>
  <c r="AA5" i="1"/>
  <c r="H5" i="1"/>
  <c r="G5" i="1"/>
  <c r="F5" i="1"/>
  <c r="E5" i="1"/>
  <c r="D5" i="1"/>
  <c r="C5" i="1"/>
  <c r="AV4" i="1"/>
  <c r="AU4" i="1"/>
  <c r="AT4" i="1"/>
  <c r="AS4" i="1"/>
  <c r="AR4" i="1"/>
  <c r="AQ4" i="1"/>
  <c r="AN4" i="1"/>
  <c r="AM4" i="1"/>
  <c r="AL4" i="1"/>
  <c r="AK4" i="1"/>
  <c r="AJ4" i="1"/>
  <c r="AI4" i="1"/>
  <c r="AF4" i="1"/>
  <c r="AE4" i="1"/>
  <c r="AD4" i="1"/>
  <c r="AC4" i="1"/>
  <c r="AB4" i="1"/>
  <c r="AA4" i="1"/>
  <c r="H4" i="1"/>
  <c r="G4" i="1"/>
  <c r="F4" i="1"/>
  <c r="E4" i="1"/>
  <c r="D4" i="1"/>
  <c r="C4" i="1"/>
  <c r="AV3" i="1"/>
  <c r="AV10" i="1" s="1"/>
  <c r="AU3" i="1"/>
  <c r="AU10" i="1" s="1"/>
  <c r="AU11" i="1" s="1"/>
  <c r="AU12" i="1" s="1"/>
  <c r="AT3" i="1"/>
  <c r="AT10" i="1" s="1"/>
  <c r="AS3" i="1"/>
  <c r="AS10" i="1" s="1"/>
  <c r="AS13" i="1" s="1"/>
  <c r="AR3" i="1"/>
  <c r="AQ3" i="1"/>
  <c r="AN3" i="1"/>
  <c r="AN10" i="1" s="1"/>
  <c r="AM3" i="1"/>
  <c r="AM10" i="1" s="1"/>
  <c r="AM13" i="1" s="1"/>
  <c r="AL3" i="1"/>
  <c r="AL10" i="1" s="1"/>
  <c r="AK3" i="1"/>
  <c r="AK10" i="1" s="1"/>
  <c r="AJ3" i="1"/>
  <c r="AJ10" i="1" s="1"/>
  <c r="AJ11" i="1" s="1"/>
  <c r="AI3" i="1"/>
  <c r="AI10" i="1" s="1"/>
  <c r="AI13" i="1" s="1"/>
  <c r="AF3" i="1"/>
  <c r="AF10" i="1" s="1"/>
  <c r="AF11" i="1" s="1"/>
  <c r="AF12" i="1" s="1"/>
  <c r="AE3" i="1"/>
  <c r="AE10" i="1" s="1"/>
  <c r="AD3" i="1"/>
  <c r="AD10" i="1" s="1"/>
  <c r="AD13" i="1" s="1"/>
  <c r="AC3" i="1"/>
  <c r="AC10" i="1" s="1"/>
  <c r="AC11" i="1" s="1"/>
  <c r="AC12" i="1" s="1"/>
  <c r="AB3" i="1"/>
  <c r="AB10" i="1" s="1"/>
  <c r="AB12" i="1" s="1"/>
  <c r="AA3" i="1"/>
  <c r="X10" i="1"/>
  <c r="W10" i="1"/>
  <c r="V10" i="1"/>
  <c r="U10" i="1"/>
  <c r="T10" i="1"/>
  <c r="T11" i="1" s="1"/>
  <c r="T12" i="1" s="1"/>
  <c r="S10" i="1"/>
  <c r="S11" i="1" s="1"/>
  <c r="S12" i="1" s="1"/>
  <c r="P10" i="1"/>
  <c r="P11" i="1" s="1"/>
  <c r="P12" i="1" s="1"/>
  <c r="O10" i="1"/>
  <c r="O11" i="1" s="1"/>
  <c r="O12" i="1" s="1"/>
  <c r="N10" i="1"/>
  <c r="M10" i="1"/>
  <c r="L10" i="1"/>
  <c r="L11" i="1" s="1"/>
  <c r="L12" i="1" s="1"/>
  <c r="K10" i="1"/>
  <c r="K11" i="1" s="1"/>
  <c r="K12" i="1" s="1"/>
  <c r="H3" i="1"/>
  <c r="H10" i="1" s="1"/>
  <c r="H11" i="1" s="1"/>
  <c r="H12" i="1" s="1"/>
  <c r="G3" i="1"/>
  <c r="G10" i="1" s="1"/>
  <c r="G11" i="1" s="1"/>
  <c r="G12" i="1" s="1"/>
  <c r="F3" i="1"/>
  <c r="E3" i="1"/>
  <c r="E10" i="1" s="1"/>
  <c r="D3" i="1"/>
  <c r="D10" i="1" s="1"/>
  <c r="D13" i="1" s="1"/>
  <c r="C3" i="1"/>
  <c r="C10" i="1" s="1"/>
  <c r="C13" i="1" s="1"/>
  <c r="AU32" i="1" l="1"/>
  <c r="AU31" i="1"/>
  <c r="L29" i="1"/>
  <c r="L31" i="1" s="1"/>
  <c r="AE29" i="1"/>
  <c r="AE30" i="1" s="1"/>
  <c r="AE31" i="1" s="1"/>
  <c r="O31" i="1"/>
  <c r="O32" i="1"/>
  <c r="AQ10" i="1"/>
  <c r="AQ12" i="1" s="1"/>
  <c r="AA10" i="1"/>
  <c r="AA11" i="1" s="1"/>
  <c r="AA12" i="1" s="1"/>
  <c r="E29" i="1"/>
  <c r="E30" i="1" s="1"/>
  <c r="E31" i="1" s="1"/>
  <c r="U29" i="1"/>
  <c r="AR10" i="1"/>
  <c r="AR11" i="1" s="1"/>
  <c r="AR12" i="1" s="1"/>
  <c r="F29" i="1"/>
  <c r="F30" i="1" s="1"/>
  <c r="F31" i="1" s="1"/>
  <c r="W29" i="1"/>
  <c r="W30" i="1" s="1"/>
  <c r="W31" i="1" s="1"/>
  <c r="H29" i="1"/>
  <c r="H30" i="1" s="1"/>
  <c r="H31" i="1" s="1"/>
  <c r="AS29" i="1"/>
  <c r="AV32" i="1"/>
  <c r="AJ12" i="1"/>
  <c r="AJ13" i="1"/>
  <c r="P31" i="1"/>
  <c r="P32" i="1"/>
  <c r="E11" i="1"/>
  <c r="E12" i="1" s="1"/>
  <c r="E13" i="1"/>
  <c r="M11" i="1"/>
  <c r="M12" i="1" s="1"/>
  <c r="S32" i="1"/>
  <c r="AI32" i="1"/>
  <c r="AD32" i="1"/>
  <c r="F10" i="1"/>
  <c r="AC13" i="1"/>
  <c r="C32" i="1"/>
  <c r="N11" i="1"/>
  <c r="N12" i="1" s="1"/>
  <c r="N13" i="1"/>
  <c r="U30" i="1"/>
  <c r="U31" i="1" s="1"/>
  <c r="AK31" i="1"/>
  <c r="U11" i="1"/>
  <c r="U12" i="1" s="1"/>
  <c r="W15" i="1" s="1"/>
  <c r="AK11" i="1"/>
  <c r="AK12" i="1" s="1"/>
  <c r="V30" i="1"/>
  <c r="V31" i="1" s="1"/>
  <c r="V32" i="1"/>
  <c r="V11" i="1"/>
  <c r="V12" i="1" s="1"/>
  <c r="V13" i="1"/>
  <c r="AL11" i="1"/>
  <c r="AL12" i="1" s="1"/>
  <c r="X30" i="1"/>
  <c r="X31" i="1" s="1"/>
  <c r="AN30" i="1"/>
  <c r="AN31" i="1" s="1"/>
  <c r="AN11" i="1"/>
  <c r="AN12" i="1" s="1"/>
  <c r="AM15" i="1" s="1"/>
  <c r="K30" i="1"/>
  <c r="K31" i="1" s="1"/>
  <c r="AA30" i="1"/>
  <c r="AA31" i="1" s="1"/>
  <c r="AE34" i="1" s="1"/>
  <c r="AQ30" i="1"/>
  <c r="AQ31" i="1" s="1"/>
  <c r="AR30" i="1"/>
  <c r="AR31" i="1" s="1"/>
  <c r="G30" i="1"/>
  <c r="G31" i="1" s="1"/>
  <c r="AF13" i="1"/>
  <c r="AB13" i="1"/>
  <c r="AE12" i="1"/>
  <c r="AE15" i="1" s="1"/>
  <c r="D30" i="1"/>
  <c r="D31" i="1" s="1"/>
  <c r="D32" i="1"/>
  <c r="T30" i="1"/>
  <c r="T31" i="1" s="1"/>
  <c r="AJ30" i="1"/>
  <c r="AJ31" i="1" s="1"/>
  <c r="AJ32" i="1"/>
  <c r="G13" i="1"/>
  <c r="AB32" i="1"/>
  <c r="H13" i="1"/>
  <c r="O13" i="1"/>
  <c r="AM30" i="1"/>
  <c r="AM31" i="1" s="1"/>
  <c r="K13" i="1"/>
  <c r="P13" i="1"/>
  <c r="AE32" i="1"/>
  <c r="AF32" i="1"/>
  <c r="AV11" i="1"/>
  <c r="AV12" i="1" s="1"/>
  <c r="AU13" i="1"/>
  <c r="W11" i="1"/>
  <c r="W12" i="1" s="1"/>
  <c r="AC32" i="1"/>
  <c r="L13" i="1"/>
  <c r="AT12" i="1"/>
  <c r="S13" i="1"/>
  <c r="T13" i="1"/>
  <c r="X11" i="1"/>
  <c r="X12" i="1" s="1"/>
  <c r="U32" i="1" l="1"/>
  <c r="AA13" i="1"/>
  <c r="AS30" i="1"/>
  <c r="AS31" i="1" s="1"/>
  <c r="AU34" i="1" s="1"/>
  <c r="AM34" i="1"/>
  <c r="AM32" i="1"/>
  <c r="AN13" i="1"/>
  <c r="U13" i="1"/>
  <c r="F11" i="1"/>
  <c r="F12" i="1" s="1"/>
  <c r="G15" i="1" s="1"/>
  <c r="H32" i="1"/>
  <c r="AV13" i="1"/>
  <c r="L32" i="1"/>
  <c r="T32" i="1"/>
  <c r="AQ13" i="1"/>
  <c r="AL13" i="1"/>
  <c r="AK32" i="1"/>
  <c r="M13" i="1"/>
  <c r="O16" i="1" s="1"/>
  <c r="W34" i="1"/>
  <c r="O15" i="1"/>
  <c r="O17" i="1" s="1"/>
  <c r="O34" i="1"/>
  <c r="F32" i="1"/>
  <c r="G32" i="1"/>
  <c r="G34" i="1"/>
  <c r="AN32" i="1"/>
  <c r="AU15" i="1"/>
  <c r="AR13" i="1"/>
  <c r="X32" i="1"/>
  <c r="E32" i="1"/>
  <c r="AE13" i="1"/>
  <c r="AE16" i="1" s="1"/>
  <c r="AE17" i="1" s="1"/>
  <c r="AQ32" i="1"/>
  <c r="AT13" i="1"/>
  <c r="K32" i="1"/>
  <c r="W32" i="1"/>
  <c r="AR32" i="1"/>
  <c r="W13" i="1"/>
  <c r="X13" i="1"/>
  <c r="AA32" i="1"/>
  <c r="AE35" i="1" s="1"/>
  <c r="AE36" i="1" s="1"/>
  <c r="AK13" i="1"/>
  <c r="W16" i="1" l="1"/>
  <c r="W17" i="1" s="1"/>
  <c r="W35" i="1"/>
  <c r="W36" i="1" s="1"/>
  <c r="O35" i="1"/>
  <c r="O36" i="1" s="1"/>
  <c r="G35" i="1"/>
  <c r="G36" i="1" s="1"/>
  <c r="AS32" i="1"/>
  <c r="AM35" i="1"/>
  <c r="AM36" i="1" s="1"/>
  <c r="AU16" i="1"/>
  <c r="AU35" i="1"/>
  <c r="AU36" i="1" s="1"/>
  <c r="AM16" i="1"/>
  <c r="AM17" i="1" s="1"/>
  <c r="F13" i="1"/>
  <c r="G16" i="1" s="1"/>
  <c r="G17" i="1" s="1"/>
  <c r="AU17" i="1"/>
  <c r="AI40" i="13" l="1"/>
  <c r="AI39" i="13"/>
  <c r="AI38" i="13"/>
  <c r="AI37" i="13"/>
  <c r="AI36" i="13"/>
  <c r="AI35" i="13"/>
  <c r="AI34" i="13"/>
  <c r="AI33" i="13"/>
  <c r="AI22" i="13"/>
  <c r="AI21" i="13"/>
  <c r="AI20" i="13"/>
  <c r="AI19" i="13"/>
  <c r="AI18" i="13"/>
  <c r="AI17" i="13"/>
  <c r="AI16" i="13"/>
  <c r="AI15" i="13"/>
  <c r="AI14" i="13"/>
  <c r="AI13" i="13"/>
  <c r="AI40" i="11"/>
  <c r="AI39" i="11"/>
  <c r="AI38" i="11"/>
  <c r="AI37" i="11"/>
  <c r="AI36" i="11"/>
  <c r="AI35" i="11"/>
  <c r="AI34" i="11"/>
  <c r="AI22" i="11"/>
  <c r="AI21" i="11"/>
  <c r="AI20" i="11"/>
  <c r="AI19" i="11"/>
  <c r="AI18" i="11"/>
  <c r="AI17" i="11"/>
  <c r="AI16" i="11"/>
  <c r="AI15" i="11"/>
  <c r="AI14" i="11"/>
  <c r="AI13" i="11"/>
  <c r="AI40" i="8"/>
  <c r="AI39" i="8"/>
  <c r="AI38" i="8"/>
  <c r="AI37" i="8"/>
  <c r="AI36" i="8"/>
  <c r="AI35" i="8"/>
  <c r="AI34" i="8"/>
  <c r="AI33" i="8"/>
  <c r="AI22" i="8"/>
  <c r="AI21" i="8"/>
  <c r="AI20" i="8"/>
  <c r="AI19" i="8"/>
  <c r="AI18" i="8"/>
  <c r="AI17" i="8"/>
  <c r="AI16" i="8"/>
  <c r="AI15" i="8"/>
  <c r="AI14" i="8"/>
  <c r="AI13" i="8"/>
  <c r="AI40" i="6"/>
  <c r="AI39" i="6"/>
  <c r="AI38" i="6"/>
  <c r="AI37" i="6"/>
  <c r="AI36" i="6"/>
  <c r="AI35" i="6"/>
  <c r="AI34" i="6"/>
  <c r="AI33" i="6"/>
  <c r="AI22" i="6"/>
  <c r="AI21" i="6"/>
  <c r="AI20" i="6"/>
  <c r="AI19" i="6"/>
  <c r="AI18" i="6"/>
  <c r="AI17" i="6"/>
  <c r="AI16" i="6"/>
  <c r="AI15" i="6"/>
  <c r="AI14" i="6"/>
  <c r="AI13" i="6"/>
  <c r="AH40" i="4"/>
  <c r="AH39" i="4"/>
  <c r="AH38" i="4"/>
  <c r="AH37" i="4"/>
  <c r="AH36" i="4"/>
  <c r="AH35" i="4"/>
  <c r="AH34" i="4"/>
  <c r="AH33" i="4"/>
  <c r="AH22" i="4"/>
  <c r="AH21" i="4"/>
  <c r="AH20" i="4"/>
  <c r="AH19" i="4"/>
  <c r="AH18" i="4"/>
  <c r="AH17" i="4"/>
  <c r="AH16" i="4"/>
  <c r="AH15" i="4"/>
  <c r="AH14" i="4"/>
  <c r="AH13" i="4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I41" i="8" l="1"/>
  <c r="AI41" i="13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I6" i="3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E6" i="5" s="1"/>
  <c r="F6" i="3"/>
  <c r="AI12" i="3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F12" i="6"/>
  <c r="AF12" i="4"/>
  <c r="F6" i="5" l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I6" i="5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H6" i="7" s="1"/>
  <c r="AI6" i="7" s="1"/>
  <c r="E6" i="8" s="1"/>
  <c r="F6" i="8" s="1"/>
  <c r="G6" i="8" s="1"/>
  <c r="H6" i="8" s="1"/>
  <c r="I6" i="8" s="1"/>
  <c r="J6" i="8" s="1"/>
  <c r="K6" i="8" s="1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6" i="8" s="1"/>
  <c r="AG6" i="8" s="1"/>
  <c r="AH6" i="8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AB6" i="9" s="1"/>
  <c r="AC6" i="9" s="1"/>
  <c r="AD6" i="9" s="1"/>
  <c r="AE6" i="9" s="1"/>
  <c r="AF6" i="9" s="1"/>
  <c r="AG6" i="9" s="1"/>
  <c r="AH6" i="9" s="1"/>
  <c r="AI6" i="9" s="1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H6" i="10" s="1"/>
  <c r="AI6" i="10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V6" i="12" s="1"/>
  <c r="W6" i="12" s="1"/>
  <c r="X6" i="12" s="1"/>
  <c r="Y6" i="12" s="1"/>
  <c r="Z6" i="12" s="1"/>
  <c r="AA6" i="12" s="1"/>
  <c r="AB6" i="12" s="1"/>
  <c r="AC6" i="12" s="1"/>
  <c r="AD6" i="12" s="1"/>
  <c r="AE6" i="12" s="1"/>
  <c r="AF6" i="12" s="1"/>
  <c r="AG6" i="12" s="1"/>
  <c r="AH6" i="12" s="1"/>
  <c r="AI6" i="12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V6" i="13" s="1"/>
  <c r="W6" i="13" s="1"/>
  <c r="X6" i="13" s="1"/>
  <c r="Y6" i="13" s="1"/>
  <c r="Z6" i="13" s="1"/>
  <c r="AA6" i="13" s="1"/>
  <c r="AB6" i="13" s="1"/>
  <c r="AC6" i="13" s="1"/>
  <c r="AD6" i="13" s="1"/>
  <c r="AE6" i="13" s="1"/>
  <c r="AF6" i="13" s="1"/>
  <c r="AG6" i="13" s="1"/>
  <c r="AH6" i="13" s="1"/>
  <c r="E6" i="14" s="1"/>
  <c r="F6" i="14" s="1"/>
  <c r="G6" i="14" s="1"/>
  <c r="H6" i="14" s="1"/>
  <c r="I6" i="14" s="1"/>
  <c r="J6" i="14" s="1"/>
  <c r="K6" i="14" s="1"/>
  <c r="L6" i="14" s="1"/>
  <c r="M6" i="14" s="1"/>
  <c r="N6" i="14" s="1"/>
  <c r="O6" i="14" s="1"/>
  <c r="P6" i="14" s="1"/>
  <c r="Q6" i="14" s="1"/>
  <c r="R6" i="14" s="1"/>
  <c r="S6" i="14" s="1"/>
  <c r="T6" i="14" s="1"/>
  <c r="U6" i="14" s="1"/>
  <c r="V6" i="14" s="1"/>
  <c r="W6" i="14" s="1"/>
  <c r="X6" i="14" s="1"/>
  <c r="Y6" i="14" s="1"/>
  <c r="Z6" i="14" s="1"/>
  <c r="AA6" i="14" s="1"/>
  <c r="AB6" i="14" s="1"/>
  <c r="AC6" i="14" s="1"/>
  <c r="AD6" i="14" s="1"/>
  <c r="AE6" i="14" s="1"/>
  <c r="AF6" i="14" s="1"/>
  <c r="AG6" i="14" s="1"/>
  <c r="AH6" i="14" s="1"/>
  <c r="AI6" i="14" s="1"/>
  <c r="AI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2" i="5"/>
  <c r="B3" i="2"/>
  <c r="AF12" i="10" l="1"/>
  <c r="AG12" i="10"/>
  <c r="AH12" i="10"/>
  <c r="AI12" i="10"/>
  <c r="R12" i="10"/>
  <c r="S12" i="10"/>
  <c r="T12" i="10"/>
  <c r="U12" i="10"/>
  <c r="I12" i="10"/>
  <c r="J12" i="10"/>
  <c r="K12" i="10"/>
  <c r="L12" i="10"/>
  <c r="M12" i="10"/>
  <c r="N12" i="10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AE12" i="10"/>
  <c r="AD12" i="10"/>
  <c r="AC12" i="10"/>
  <c r="AB12" i="10"/>
  <c r="AA12" i="10"/>
  <c r="Z12" i="10"/>
  <c r="Y12" i="10"/>
  <c r="X12" i="10"/>
  <c r="W12" i="10"/>
  <c r="V12" i="10"/>
  <c r="Q12" i="10"/>
  <c r="P12" i="10"/>
  <c r="O12" i="10"/>
  <c r="H12" i="10"/>
  <c r="G12" i="10"/>
  <c r="F12" i="10"/>
  <c r="E12" i="10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AI12" i="6"/>
  <c r="AI41" i="6" s="1"/>
  <c r="AG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21" i="2"/>
  <c r="C21" i="2"/>
  <c r="AJ12" i="14" l="1"/>
  <c r="AJ12" i="12"/>
  <c r="AJ12" i="9"/>
  <c r="AJ41" i="9" s="1"/>
  <c r="AI12" i="8"/>
  <c r="AJ12" i="7"/>
  <c r="AJ12" i="3"/>
  <c r="AJ12" i="5"/>
  <c r="AJ41" i="5" s="1"/>
  <c r="AH12" i="4"/>
  <c r="G21" i="2"/>
  <c r="F21" i="2"/>
  <c r="E21" i="2"/>
  <c r="AI12" i="13"/>
  <c r="AI12" i="11"/>
  <c r="AI41" i="11" s="1"/>
  <c r="AJ12" i="10"/>
  <c r="H21" i="2" l="1"/>
</calcChain>
</file>

<file path=xl/sharedStrings.xml><?xml version="1.0" encoding="utf-8"?>
<sst xmlns="http://schemas.openxmlformats.org/spreadsheetml/2006/main" count="1083" uniqueCount="219">
  <si>
    <t>January</t>
  </si>
  <si>
    <t>February</t>
  </si>
  <si>
    <t>March</t>
  </si>
  <si>
    <t>April</t>
  </si>
  <si>
    <t>May</t>
  </si>
  <si>
    <t>June</t>
  </si>
  <si>
    <t>Mo</t>
  </si>
  <si>
    <t>Tu</t>
  </si>
  <si>
    <t>We</t>
  </si>
  <si>
    <t>Th</t>
  </si>
  <si>
    <t>Fr</t>
  </si>
  <si>
    <t>Sa</t>
  </si>
  <si>
    <t>Su</t>
  </si>
  <si>
    <t>July</t>
  </si>
  <si>
    <t>August</t>
  </si>
  <si>
    <t>September</t>
  </si>
  <si>
    <t>October</t>
  </si>
  <si>
    <t>November</t>
  </si>
  <si>
    <t>December</t>
  </si>
  <si>
    <t>01.01.</t>
  </si>
  <si>
    <t>06.01.</t>
  </si>
  <si>
    <t>01.05.</t>
  </si>
  <si>
    <t>30.05.</t>
  </si>
  <si>
    <t>22.06.</t>
  </si>
  <si>
    <t>05.08.</t>
  </si>
  <si>
    <t>15.08.</t>
  </si>
  <si>
    <t>01.11.</t>
  </si>
  <si>
    <t>18.11.</t>
  </si>
  <si>
    <t>25.12.</t>
  </si>
  <si>
    <t>26.12.</t>
  </si>
  <si>
    <t>(3*)</t>
  </si>
  <si>
    <t>X</t>
  </si>
  <si>
    <t>(4*)</t>
  </si>
  <si>
    <t>(5*)</t>
  </si>
  <si>
    <t>(6*)</t>
  </si>
  <si>
    <t>(7*)</t>
  </si>
  <si>
    <t>(8*)</t>
  </si>
  <si>
    <t>(9*)</t>
  </si>
  <si>
    <t>(10*)</t>
  </si>
  <si>
    <t>(11*)</t>
  </si>
  <si>
    <t>OIB</t>
  </si>
  <si>
    <t>OIB:</t>
  </si>
  <si>
    <t>Month</t>
  </si>
  <si>
    <t>Working Hours</t>
  </si>
  <si>
    <t>Holiday Hours</t>
  </si>
  <si>
    <t>Total Paid Hours</t>
  </si>
  <si>
    <t>Number of Working Days</t>
  </si>
  <si>
    <t>Number of Holiday Days</t>
  </si>
  <si>
    <t>Total Paid Days</t>
  </si>
  <si>
    <t>TOTAL 2025.</t>
  </si>
  <si>
    <t>New Year's Day</t>
  </si>
  <si>
    <t>Epiphany (Three Kings' Day)</t>
  </si>
  <si>
    <t>Easter</t>
  </si>
  <si>
    <t>Easter Monday</t>
  </si>
  <si>
    <t>Labour Day</t>
  </si>
  <si>
    <t>Corpus Christi</t>
  </si>
  <si>
    <t>Antifascist Struggle Day</t>
  </si>
  <si>
    <t>Homeland Thanksgiving Day</t>
  </si>
  <si>
    <t>Assumption of Mary</t>
  </si>
  <si>
    <t>All Saints' Day</t>
  </si>
  <si>
    <t>Remembrance Day for Victims of the Homeland War</t>
  </si>
  <si>
    <t>Christmas</t>
  </si>
  <si>
    <t>St. Stephen's Day</t>
  </si>
  <si>
    <t>Wednesday</t>
  </si>
  <si>
    <t>Monday</t>
  </si>
  <si>
    <t>Sunday</t>
  </si>
  <si>
    <t>Thursday</t>
  </si>
  <si>
    <t>Tuesday</t>
  </si>
  <si>
    <t>Friday</t>
  </si>
  <si>
    <t>Saturday</t>
  </si>
  <si>
    <t>Date</t>
  </si>
  <si>
    <t>Holiday</t>
  </si>
  <si>
    <t>Day of the Week</t>
  </si>
  <si>
    <t>Working and non-working hours for 40 hours per week, Mon-Fri - 8 hours per day</t>
  </si>
  <si>
    <t>Company Name</t>
  </si>
  <si>
    <t>Employee First and Last Name</t>
  </si>
  <si>
    <t>Number of weekly working hours</t>
  </si>
  <si>
    <t>Number of daily working hours</t>
  </si>
  <si>
    <t>Number of working hours on Saturdays:</t>
  </si>
  <si>
    <t>Number of working days per week (Mon-Fri)</t>
  </si>
  <si>
    <t>Fieldwork</t>
  </si>
  <si>
    <t xml:space="preserve">WORKING HOURS RECORD OF EMPLOYEES IN THE MONTH </t>
  </si>
  <si>
    <t>(Company-name)</t>
  </si>
  <si>
    <t>No.</t>
  </si>
  <si>
    <t>Last and First Name of Employee</t>
  </si>
  <si>
    <t>DAYS IN MONTH</t>
  </si>
  <si>
    <t>Total</t>
  </si>
  <si>
    <t>Statehofrom Day</t>
  </si>
  <si>
    <t>from</t>
  </si>
  <si>
    <t>to</t>
  </si>
  <si>
    <t>Start of work</t>
  </si>
  <si>
    <t>End of work</t>
  </si>
  <si>
    <t>DESCRIPTION</t>
  </si>
  <si>
    <t>Standby hours without the fault of the worker</t>
  </si>
  <si>
    <t>Total daily working hours</t>
  </si>
  <si>
    <t>Hours of standby and on-call work</t>
  </si>
  <si>
    <t>Daytime break</t>
  </si>
  <si>
    <t>Weekly break</t>
  </si>
  <si>
    <t>Annual leave</t>
  </si>
  <si>
    <t>Break</t>
  </si>
  <si>
    <t>Paid non-working days and holidays</t>
  </si>
  <si>
    <t>Regular work</t>
  </si>
  <si>
    <t>On holidays and non-working days</t>
  </si>
  <si>
    <t>Overtime hours of work</t>
  </si>
  <si>
    <t>DAY WORK</t>
  </si>
  <si>
    <t>Temporary incapacity for work
(sick-leave)</t>
  </si>
  <si>
    <t>Pregnancy complications</t>
  </si>
  <si>
    <t>Maternity leave</t>
  </si>
  <si>
    <t>Parental leave</t>
  </si>
  <si>
    <t>ABSENCE FROM WORK</t>
  </si>
  <si>
    <t>NIGHT WORK</t>
  </si>
  <si>
    <t>Hours spent on strike</t>
  </si>
  <si>
    <t>Hours of work stoppage (lockout)</t>
  </si>
  <si>
    <t>Suspension of employment</t>
  </si>
  <si>
    <t>Use of other rights according to other regulations</t>
  </si>
  <si>
    <t>Paid leave hours</t>
  </si>
  <si>
    <r>
      <rPr>
        <b/>
        <sz val="10"/>
        <color rgb="FF000000"/>
        <rFont val="Calibri"/>
        <family val="2"/>
        <charset val="238"/>
      </rPr>
      <t>Un</t>
    </r>
    <r>
      <rPr>
        <sz val="10"/>
        <color rgb="FF000000"/>
        <rFont val="Calibri"/>
        <family val="2"/>
        <charset val="238"/>
      </rPr>
      <t>paid leave hours</t>
    </r>
  </si>
  <si>
    <t>Absence at the request of the employee</t>
  </si>
  <si>
    <t>Unauthorized absence from work</t>
  </si>
  <si>
    <t>Absence due to military obligation or service in the contractual reserve</t>
  </si>
  <si>
    <t>Unpaid leave of a candidate for the President of the Republic of Croatia, a member of the Croatian Parliament, a member of the county assembly, city or municipal council, county prefect, mayor, or municipal head and their deputies</t>
  </si>
  <si>
    <t>Unpaid leave for providing personal care</t>
  </si>
  <si>
    <t>Paternal leave and leave for the other adoptive parent</t>
  </si>
  <si>
    <t>Sign of the employee</t>
  </si>
  <si>
    <t>Sign of the employeer</t>
  </si>
  <si>
    <t>* Serial numbers according to the regulations</t>
  </si>
  <si>
    <t xml:space="preserve"> -This document needs to be kept permanently</t>
  </si>
  <si>
    <t>- The employee has the right to access this document according to Article 13, paragraph 3 of the Regulation on the content and manner of keeping records of employees.</t>
  </si>
  <si>
    <t>Mon</t>
  </si>
  <si>
    <t>Wed</t>
  </si>
  <si>
    <t>Sat</t>
  </si>
  <si>
    <t>Tue</t>
  </si>
  <si>
    <t>Thu</t>
  </si>
  <si>
    <t>Sun</t>
  </si>
  <si>
    <t>Fri</t>
  </si>
  <si>
    <t>EMPLOYEE RECORD</t>
  </si>
  <si>
    <t>Company name, address, OIB</t>
  </si>
  <si>
    <t>Name and surname</t>
  </si>
  <si>
    <t xml:space="preserve">
Gender</t>
  </si>
  <si>
    <t xml:space="preserve">
Date of birth</t>
  </si>
  <si>
    <t xml:space="preserve">
Citizenship</t>
  </si>
  <si>
    <t xml:space="preserve">
Place of birth</t>
  </si>
  <si>
    <t>Country of birth</t>
  </si>
  <si>
    <t xml:space="preserve">
Residence / Temporary Residence</t>
  </si>
  <si>
    <t xml:space="preserve">
Place</t>
  </si>
  <si>
    <t>Country</t>
  </si>
  <si>
    <t>Street and number</t>
  </si>
  <si>
    <t xml:space="preserve">
Residence permit</t>
  </si>
  <si>
    <t>Employee status</t>
  </si>
  <si>
    <t>Country of origin</t>
  </si>
  <si>
    <t>Residence permit</t>
  </si>
  <si>
    <t xml:space="preserve">
Work permit</t>
  </si>
  <si>
    <t>Confirmation of employment registration</t>
  </si>
  <si>
    <t>Work</t>
  </si>
  <si>
    <t>Contract date</t>
  </si>
  <si>
    <t>Job title</t>
  </si>
  <si>
    <t>Fixed-term / Permanent</t>
  </si>
  <si>
    <t xml:space="preserve">
Expected duration</t>
  </si>
  <si>
    <t>Working hours</t>
  </si>
  <si>
    <t>Daily hours</t>
  </si>
  <si>
    <t>Monthly hours</t>
  </si>
  <si>
    <t>Annual leave (days)</t>
  </si>
  <si>
    <t>Increased duration of service</t>
  </si>
  <si>
    <t>Establishment of work ability</t>
  </si>
  <si>
    <t>Education</t>
  </si>
  <si>
    <t>Occupation</t>
  </si>
  <si>
    <t>Title of the job, or nature and type of work performed by the employee</t>
  </si>
  <si>
    <t>Probation period and internship duration</t>
  </si>
  <si>
    <t>Duration of the probation period</t>
  </si>
  <si>
    <t>Duration of the internship period</t>
  </si>
  <si>
    <t>Date of examination</t>
  </si>
  <si>
    <t>Exam success</t>
  </si>
  <si>
    <t xml:space="preserve">
Temporary secondment of employees to affiliated companies</t>
  </si>
  <si>
    <t>Duration</t>
  </si>
  <si>
    <t>Country of work</t>
  </si>
  <si>
    <t>Place</t>
  </si>
  <si>
    <t xml:space="preserve">
Other information</t>
  </si>
  <si>
    <t>Service until joining the company DD MM YY</t>
  </si>
  <si>
    <t>Type of job for beneficial work experience</t>
  </si>
  <si>
    <t>Place of work</t>
  </si>
  <si>
    <t>Work under the contract from Article 61, Paragraph 3, and Article 62, Paragraph 3 of the Labor Law</t>
  </si>
  <si>
    <t>Number of working hours</t>
  </si>
  <si>
    <t xml:space="preserve">
Consent</t>
  </si>
  <si>
    <t xml:space="preserve">
For permanent seasonal workers</t>
  </si>
  <si>
    <t>Conditions and duration of contributions for extended pension insuranc</t>
  </si>
  <si>
    <t xml:space="preserve">
Suspension of employment relationship</t>
  </si>
  <si>
    <t xml:space="preserve">
Start date</t>
  </si>
  <si>
    <t>Termination date</t>
  </si>
  <si>
    <t>Termination of employment</t>
  </si>
  <si>
    <t xml:space="preserve">
Reason for termination</t>
  </si>
  <si>
    <t>Non-compete clause</t>
  </si>
  <si>
    <t>Duration of the non-compete clause</t>
  </si>
  <si>
    <t>Note</t>
  </si>
  <si>
    <t>Maintain records of working hours</t>
  </si>
  <si>
    <t>Annual leave from the previous year</t>
  </si>
  <si>
    <t>Other data on which the realization of specific rights arising from or related to the employment relationship depends:</t>
  </si>
  <si>
    <t xml:space="preserve">
Notice or confirmation of pregnancy</t>
  </si>
  <si>
    <t xml:space="preserve">
Date of receipt of notification:</t>
  </si>
  <si>
    <t>Maternity</t>
  </si>
  <si>
    <t>Breastfeeding</t>
  </si>
  <si>
    <t>Status of a single parent</t>
  </si>
  <si>
    <t>Adoptive parent status</t>
  </si>
  <si>
    <t xml:space="preserve">
Occupational disease</t>
  </si>
  <si>
    <t>Work-related injury</t>
  </si>
  <si>
    <t>Occupational disability</t>
  </si>
  <si>
    <t>Reduction of work capacit</t>
  </si>
  <si>
    <t xml:space="preserve">
Disability</t>
  </si>
  <si>
    <t xml:space="preserve">
Disability pension</t>
  </si>
  <si>
    <t xml:space="preserve">
Information about the second employer where the employee works part-time:</t>
  </si>
  <si>
    <t>Name/ name and surname</t>
  </si>
  <si>
    <t>Address:</t>
  </si>
  <si>
    <t>Contact information:</t>
  </si>
  <si>
    <t>Holidays</t>
  </si>
  <si>
    <t>Total working hours:</t>
  </si>
  <si>
    <t>Total hours fund :</t>
  </si>
  <si>
    <t>Total holidays hours:</t>
  </si>
  <si>
    <t>05.04.</t>
  </si>
  <si>
    <t>06.04.</t>
  </si>
  <si>
    <t>04.06.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</si>
</sst>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\-#,##0\ "/>
    <numFmt numFmtId="165" formatCode="dd/mm/yy/"/>
    <numFmt numFmtId="166" formatCode="d/m/;@"/>
    <numFmt numFmtId="167" formatCode="[$-F800]dddd\,\ mmmm\ dd\,\ yyyy"/>
    <numFmt numFmtId="168" formatCode="d"/>
  </numFmts>
  <fonts count="26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D8D8D8"/>
      <name val="Calibri"/>
      <family val="2"/>
      <charset val="238"/>
    </font>
    <font>
      <sz val="10"/>
      <color theme="1"/>
      <name val="Trebuchet MS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5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238"/>
    </font>
    <font>
      <sz val="11"/>
      <color rgb="FF000000"/>
      <name val="Calibri"/>
      <family val="2"/>
      <charset val="238"/>
    </font>
    <font>
      <sz val="18"/>
      <color theme="3"/>
      <name val="Calibri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0" tint="-4.9989318521683403E-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rgb="FFFFFFFF"/>
      </patternFill>
    </fill>
  </fills>
  <borders count="1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/>
      <top style="thin">
        <color rgb="FF000000"/>
      </top>
      <bottom style="thin">
        <color rgb="FFA5A5A5"/>
      </bottom>
      <diagonal/>
    </border>
    <border>
      <left/>
      <right/>
      <top style="thin">
        <color rgb="FF000000"/>
      </top>
      <bottom style="thin">
        <color rgb="FFA5A5A5"/>
      </bottom>
      <diagonal/>
    </border>
    <border>
      <left/>
      <right style="thin">
        <color rgb="FFA5A5A5"/>
      </right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A5A5A5"/>
      </right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 style="thin">
        <color rgb="FFA5A5A5"/>
      </right>
      <top/>
      <bottom style="double">
        <color rgb="FF000000"/>
      </bottom>
      <diagonal/>
    </border>
    <border>
      <left style="thin">
        <color rgb="FFA5A5A5"/>
      </left>
      <right/>
      <top/>
      <bottom style="double">
        <color rgb="FF000000"/>
      </bottom>
      <diagonal/>
    </border>
    <border>
      <left/>
      <right style="thin">
        <color rgb="FFA5A5A5"/>
      </right>
      <top/>
      <bottom style="double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double">
        <color rgb="FF000000"/>
      </bottom>
      <diagonal/>
    </border>
    <border>
      <left style="thin">
        <color rgb="FF000000"/>
      </left>
      <right style="thin">
        <color rgb="FFA5A5A5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A5A5A5"/>
      </right>
      <top style="double">
        <color rgb="FF000000"/>
      </top>
      <bottom style="double">
        <color rgb="FF000000"/>
      </bottom>
      <diagonal/>
    </border>
    <border>
      <left style="thin">
        <color rgb="FFA5A5A5"/>
      </left>
      <right style="thin">
        <color rgb="FFA5A5A5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A5A5A5"/>
      </right>
      <top style="double">
        <color rgb="FF000000"/>
      </top>
      <bottom style="thin">
        <color rgb="FFA5A5A5"/>
      </bottom>
      <diagonal/>
    </border>
    <border>
      <left/>
      <right/>
      <top style="double">
        <color rgb="FF000000"/>
      </top>
      <bottom style="thin">
        <color rgb="FFA5A5A5"/>
      </bottom>
      <diagonal/>
    </border>
    <border>
      <left/>
      <right style="thin">
        <color rgb="FFA5A5A5"/>
      </right>
      <top style="double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double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000000"/>
      </left>
      <right style="thin">
        <color rgb="FFA5A5A5"/>
      </right>
      <top style="thin">
        <color rgb="FFA5A5A5"/>
      </top>
      <bottom style="double">
        <color rgb="FF000000"/>
      </bottom>
      <diagonal/>
    </border>
    <border>
      <left style="thin">
        <color rgb="FFA5A5A5"/>
      </left>
      <right style="thin">
        <color rgb="FFA5A5A5"/>
      </right>
      <top/>
      <bottom style="double">
        <color rgb="FF000000"/>
      </bottom>
      <diagonal/>
    </border>
    <border>
      <left/>
      <right style="thin">
        <color rgb="FFA5A5A5"/>
      </right>
      <top style="thin">
        <color rgb="FFA5A5A5"/>
      </top>
      <bottom style="double">
        <color rgb="FF000000"/>
      </bottom>
      <diagonal/>
    </border>
    <border>
      <left style="thin">
        <color rgb="FF000000"/>
      </left>
      <right style="thin">
        <color rgb="FFA5A5A5"/>
      </right>
      <top style="double">
        <color rgb="FF000000"/>
      </top>
      <bottom/>
      <diagonal/>
    </border>
    <border>
      <left style="thin">
        <color rgb="FFA5A5A5"/>
      </left>
      <right style="thin">
        <color rgb="FFA5A5A5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double">
        <color rgb="FF000000"/>
      </bottom>
      <diagonal/>
    </border>
    <border>
      <left style="thin">
        <color rgb="FFA5A5A5"/>
      </left>
      <right/>
      <top style="double">
        <color rgb="FF000000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A5A5A5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/>
      <diagonal/>
    </border>
    <border>
      <left style="thin">
        <color rgb="FF000000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/>
      <top style="thin">
        <color rgb="FFBFBFBF"/>
      </top>
      <bottom style="thin">
        <color rgb="FF000000"/>
      </bottom>
      <diagonal/>
    </border>
    <border>
      <left/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000000"/>
      </right>
      <top style="thin">
        <color rgb="FFBFBFBF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9" fillId="0" borderId="108" applyNumberFormat="0" applyFill="0" applyAlignment="0" applyProtection="0"/>
    <xf numFmtId="0" fontId="17" fillId="0" borderId="1"/>
    <xf numFmtId="0" fontId="21" fillId="0" borderId="1" applyFont="0" applyFill="0" applyBorder="0">
      <alignment horizontal="center"/>
    </xf>
    <xf numFmtId="168" fontId="21" fillId="0" borderId="1" applyFont="0" applyFill="0" applyBorder="0">
      <alignment horizontal="right"/>
    </xf>
  </cellStyleXfs>
  <cellXfs count="278">
    <xf numFmtId="0" fontId="0" fillId="0" borderId="0" xfId="0"/>
    <xf numFmtId="0" fontId="0" fillId="4" borderId="5" xfId="0" applyFill="1" applyBorder="1"/>
    <xf numFmtId="0" fontId="0" fillId="4" borderId="4" xfId="0" applyFill="1" applyBorder="1"/>
    <xf numFmtId="0" fontId="0" fillId="2" borderId="13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2" fillId="0" borderId="0" xfId="0" applyFont="1"/>
    <xf numFmtId="0" fontId="4" fillId="0" borderId="20" xfId="0" applyFont="1" applyBorder="1" applyAlignment="1">
      <alignment horizontal="center" vertical="center" wrapText="1"/>
    </xf>
    <xf numFmtId="0" fontId="4" fillId="0" borderId="0" xfId="0" applyFont="1"/>
    <xf numFmtId="0" fontId="0" fillId="0" borderId="8" xfId="0" applyBorder="1" applyAlignment="1">
      <alignment vertical="center"/>
    </xf>
    <xf numFmtId="0" fontId="0" fillId="0" borderId="27" xfId="0" applyBorder="1"/>
    <xf numFmtId="0" fontId="3" fillId="0" borderId="27" xfId="0" applyFont="1" applyBorder="1"/>
    <xf numFmtId="0" fontId="3" fillId="0" borderId="28" xfId="0" applyFont="1" applyBorder="1"/>
    <xf numFmtId="0" fontId="3" fillId="0" borderId="13" xfId="0" applyFont="1" applyBorder="1"/>
    <xf numFmtId="0" fontId="3" fillId="0" borderId="29" xfId="0" applyFont="1" applyBorder="1"/>
    <xf numFmtId="0" fontId="6" fillId="0" borderId="0" xfId="0" applyFont="1" applyAlignment="1">
      <alignment horizontal="left" vertical="center"/>
    </xf>
    <xf numFmtId="0" fontId="6" fillId="4" borderId="41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4" borderId="56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164" fontId="6" fillId="4" borderId="61" xfId="0" applyNumberFormat="1" applyFont="1" applyFill="1" applyBorder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left" vertical="center"/>
    </xf>
    <xf numFmtId="0" fontId="6" fillId="4" borderId="65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9" xfId="0" applyFont="1" applyBorder="1" applyAlignment="1">
      <alignment horizontal="left" vertical="center"/>
    </xf>
    <xf numFmtId="0" fontId="6" fillId="0" borderId="66" xfId="0" applyFont="1" applyBorder="1" applyAlignment="1">
      <alignment horizontal="center" vertical="center"/>
    </xf>
    <xf numFmtId="164" fontId="6" fillId="0" borderId="77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164" fontId="6" fillId="2" borderId="61" xfId="0" applyNumberFormat="1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left" vertical="center"/>
    </xf>
    <xf numFmtId="0" fontId="6" fillId="2" borderId="57" xfId="0" applyFont="1" applyFill="1" applyBorder="1" applyAlignment="1">
      <alignment horizontal="left" vertical="center"/>
    </xf>
    <xf numFmtId="0" fontId="6" fillId="2" borderId="58" xfId="0" applyFont="1" applyFill="1" applyBorder="1" applyAlignment="1">
      <alignment horizontal="left" vertical="center"/>
    </xf>
    <xf numFmtId="164" fontId="6" fillId="2" borderId="84" xfId="0" applyNumberFormat="1" applyFont="1" applyFill="1" applyBorder="1" applyAlignment="1">
      <alignment horizontal="center" vertical="center"/>
    </xf>
    <xf numFmtId="164" fontId="6" fillId="2" borderId="85" xfId="0" applyNumberFormat="1" applyFont="1" applyFill="1" applyBorder="1" applyAlignment="1">
      <alignment horizontal="left" vertical="center"/>
    </xf>
    <xf numFmtId="49" fontId="0" fillId="0" borderId="0" xfId="0" applyNumberFormat="1"/>
    <xf numFmtId="0" fontId="9" fillId="0" borderId="0" xfId="0" applyFont="1" applyAlignment="1">
      <alignment horizontal="left" vertical="center" wrapText="1"/>
    </xf>
    <xf numFmtId="49" fontId="8" fillId="0" borderId="91" xfId="0" applyNumberFormat="1" applyFont="1" applyBorder="1" applyAlignment="1">
      <alignment horizontal="left" vertical="center"/>
    </xf>
    <xf numFmtId="49" fontId="8" fillId="0" borderId="94" xfId="0" applyNumberFormat="1" applyFont="1" applyBorder="1" applyAlignment="1">
      <alignment horizontal="left" vertical="center"/>
    </xf>
    <xf numFmtId="49" fontId="12" fillId="0" borderId="94" xfId="0" applyNumberFormat="1" applyFont="1" applyBorder="1" applyAlignment="1">
      <alignment horizontal="left" vertical="center"/>
    </xf>
    <xf numFmtId="49" fontId="11" fillId="4" borderId="95" xfId="0" applyNumberFormat="1" applyFont="1" applyFill="1" applyBorder="1" applyAlignment="1">
      <alignment horizontal="left" vertical="center"/>
    </xf>
    <xf numFmtId="49" fontId="8" fillId="0" borderId="91" xfId="0" applyNumberFormat="1" applyFont="1" applyBorder="1" applyAlignment="1">
      <alignment horizontal="left" vertical="center" wrapText="1"/>
    </xf>
    <xf numFmtId="49" fontId="11" fillId="0" borderId="94" xfId="0" applyNumberFormat="1" applyFont="1" applyBorder="1" applyAlignment="1">
      <alignment vertical="center" wrapText="1"/>
    </xf>
    <xf numFmtId="0" fontId="9" fillId="0" borderId="0" xfId="0" applyFont="1" applyAlignment="1">
      <alignment wrapText="1"/>
    </xf>
    <xf numFmtId="49" fontId="8" fillId="0" borderId="0" xfId="0" applyNumberFormat="1" applyFont="1" applyAlignment="1">
      <alignment horizontal="left" vertical="center"/>
    </xf>
    <xf numFmtId="0" fontId="15" fillId="4" borderId="41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/>
    </xf>
    <xf numFmtId="164" fontId="6" fillId="5" borderId="61" xfId="0" applyNumberFormat="1" applyFont="1" applyFill="1" applyBorder="1" applyAlignment="1">
      <alignment horizontal="center" vertical="center"/>
    </xf>
    <xf numFmtId="0" fontId="6" fillId="5" borderId="65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0" fillId="6" borderId="0" xfId="0" applyFill="1"/>
    <xf numFmtId="0" fontId="0" fillId="0" borderId="1" xfId="0" applyBorder="1"/>
    <xf numFmtId="164" fontId="6" fillId="7" borderId="61" xfId="0" applyNumberFormat="1" applyFont="1" applyFill="1" applyBorder="1" applyAlignment="1">
      <alignment horizontal="center" vertical="center"/>
    </xf>
    <xf numFmtId="0" fontId="0" fillId="4" borderId="9" xfId="0" applyFill="1" applyBorder="1"/>
    <xf numFmtId="0" fontId="0" fillId="4" borderId="10" xfId="0" applyFill="1" applyBorder="1"/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164" fontId="6" fillId="0" borderId="84" xfId="0" applyNumberFormat="1" applyFont="1" applyBorder="1" applyAlignment="1">
      <alignment horizontal="center" vertical="center"/>
    </xf>
    <xf numFmtId="164" fontId="6" fillId="0" borderId="85" xfId="0" applyNumberFormat="1" applyFont="1" applyBorder="1" applyAlignment="1">
      <alignment horizontal="left" vertical="center"/>
    </xf>
    <xf numFmtId="0" fontId="6" fillId="0" borderId="81" xfId="0" applyFont="1" applyBorder="1" applyAlignment="1">
      <alignment horizontal="center" vertical="center"/>
    </xf>
    <xf numFmtId="0" fontId="6" fillId="0" borderId="86" xfId="0" applyFont="1" applyBorder="1" applyAlignment="1">
      <alignment horizontal="left" vertical="center"/>
    </xf>
    <xf numFmtId="0" fontId="6" fillId="0" borderId="82" xfId="0" applyFont="1" applyBorder="1" applyAlignment="1">
      <alignment horizontal="center" vertical="center"/>
    </xf>
    <xf numFmtId="0" fontId="6" fillId="0" borderId="87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4" fontId="6" fillId="0" borderId="85" xfId="0" applyNumberFormat="1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17" fillId="4" borderId="7" xfId="0" applyFont="1" applyFill="1" applyBorder="1"/>
    <xf numFmtId="0" fontId="6" fillId="8" borderId="41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6" fillId="9" borderId="56" xfId="0" applyFont="1" applyFill="1" applyBorder="1" applyAlignment="1">
      <alignment horizontal="center" vertical="center"/>
    </xf>
    <xf numFmtId="164" fontId="6" fillId="9" borderId="61" xfId="0" applyNumberFormat="1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79" xfId="0" applyFont="1" applyFill="1" applyBorder="1" applyAlignment="1">
      <alignment horizontal="center" vertical="center"/>
    </xf>
    <xf numFmtId="0" fontId="6" fillId="9" borderId="80" xfId="0" applyFont="1" applyFill="1" applyBorder="1" applyAlignment="1">
      <alignment horizontal="center" vertical="center"/>
    </xf>
    <xf numFmtId="0" fontId="6" fillId="9" borderId="81" xfId="0" applyFont="1" applyFill="1" applyBorder="1" applyAlignment="1">
      <alignment horizontal="center" vertical="center"/>
    </xf>
    <xf numFmtId="0" fontId="6" fillId="9" borderId="82" xfId="0" applyFont="1" applyFill="1" applyBorder="1" applyAlignment="1">
      <alignment horizontal="center" vertical="center"/>
    </xf>
    <xf numFmtId="0" fontId="17" fillId="4" borderId="3" xfId="0" applyFont="1" applyFill="1" applyBorder="1"/>
    <xf numFmtId="166" fontId="6" fillId="4" borderId="41" xfId="0" applyNumberFormat="1" applyFont="1" applyFill="1" applyBorder="1" applyAlignment="1">
      <alignment horizontal="center" vertical="center"/>
    </xf>
    <xf numFmtId="166" fontId="6" fillId="0" borderId="41" xfId="0" applyNumberFormat="1" applyFont="1" applyBorder="1" applyAlignment="1">
      <alignment horizontal="center" vertical="center"/>
    </xf>
    <xf numFmtId="166" fontId="6" fillId="2" borderId="41" xfId="0" applyNumberFormat="1" applyFont="1" applyFill="1" applyBorder="1" applyAlignment="1">
      <alignment horizontal="center" vertical="center"/>
    </xf>
    <xf numFmtId="0" fontId="6" fillId="0" borderId="109" xfId="0" applyFont="1" applyBorder="1" applyAlignment="1">
      <alignment horizontal="left" vertical="center"/>
    </xf>
    <xf numFmtId="0" fontId="5" fillId="0" borderId="21" xfId="3" applyFont="1" applyBorder="1"/>
    <xf numFmtId="0" fontId="5" fillId="0" borderId="19" xfId="3" applyFont="1" applyBorder="1"/>
    <xf numFmtId="167" fontId="5" fillId="0" borderId="21" xfId="3" applyNumberFormat="1" applyFont="1" applyBorder="1" applyAlignment="1">
      <alignment horizontal="left"/>
    </xf>
    <xf numFmtId="167" fontId="5" fillId="0" borderId="37" xfId="3" applyNumberFormat="1" applyFont="1" applyBorder="1" applyAlignment="1">
      <alignment horizontal="left"/>
    </xf>
    <xf numFmtId="167" fontId="5" fillId="0" borderId="101" xfId="3" applyNumberFormat="1" applyFont="1" applyBorder="1" applyAlignment="1">
      <alignment horizontal="left"/>
    </xf>
    <xf numFmtId="0" fontId="19" fillId="0" borderId="1" xfId="2" applyFill="1" applyBorder="1" applyAlignment="1">
      <alignment horizontal="center" vertical="center"/>
    </xf>
    <xf numFmtId="0" fontId="0" fillId="0" borderId="101" xfId="4" applyFont="1" applyBorder="1">
      <alignment horizontal="center"/>
    </xf>
    <xf numFmtId="168" fontId="21" fillId="0" borderId="101" xfId="5" applyBorder="1">
      <alignment horizontal="right"/>
    </xf>
    <xf numFmtId="168" fontId="21" fillId="10" borderId="101" xfId="5" applyFill="1" applyBorder="1">
      <alignment horizontal="right"/>
    </xf>
    <xf numFmtId="0" fontId="0" fillId="9" borderId="101" xfId="4" applyFont="1" applyFill="1" applyBorder="1">
      <alignment horizontal="center"/>
    </xf>
    <xf numFmtId="168" fontId="21" fillId="9" borderId="101" xfId="5" applyFill="1" applyBorder="1">
      <alignment horizontal="right"/>
    </xf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3" fillId="0" borderId="0" xfId="0" applyFont="1"/>
    <xf numFmtId="0" fontId="15" fillId="0" borderId="41" xfId="0" applyFont="1" applyBorder="1" applyAlignment="1">
      <alignment horizontal="center" vertical="center"/>
    </xf>
    <xf numFmtId="166" fontId="6" fillId="7" borderId="41" xfId="0" applyNumberFormat="1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center" vertical="center"/>
    </xf>
    <xf numFmtId="0" fontId="6" fillId="7" borderId="65" xfId="0" applyFont="1" applyFill="1" applyBorder="1" applyAlignment="1">
      <alignment horizontal="center" vertical="center"/>
    </xf>
    <xf numFmtId="0" fontId="6" fillId="11" borderId="4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11" borderId="61" xfId="0" applyNumberFormat="1" applyFont="1" applyFill="1" applyBorder="1" applyAlignment="1">
      <alignment horizontal="center" vertical="center"/>
    </xf>
    <xf numFmtId="0" fontId="6" fillId="11" borderId="56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/>
    </xf>
    <xf numFmtId="0" fontId="14" fillId="2" borderId="21" xfId="0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17" fillId="0" borderId="6" xfId="0" applyFont="1" applyBorder="1"/>
    <xf numFmtId="0" fontId="17" fillId="0" borderId="6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/>
    </xf>
    <xf numFmtId="49" fontId="8" fillId="0" borderId="94" xfId="0" applyNumberFormat="1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112" xfId="0" applyFont="1" applyBorder="1" applyAlignment="1">
      <alignment horizontal="left" vertical="center"/>
    </xf>
    <xf numFmtId="164" fontId="6" fillId="0" borderId="86" xfId="0" applyNumberFormat="1" applyFont="1" applyBorder="1" applyAlignment="1">
      <alignment horizontal="left" vertical="center"/>
    </xf>
    <xf numFmtId="168" fontId="21" fillId="0" borderId="101" xfId="5" applyFill="1" applyBorder="1">
      <alignment horizontal="right"/>
    </xf>
    <xf numFmtId="168" fontId="21" fillId="7" borderId="101" xfId="5" applyFill="1" applyBorder="1">
      <alignment horizontal="right"/>
    </xf>
    <xf numFmtId="0" fontId="6" fillId="12" borderId="41" xfId="0" applyFont="1" applyFill="1" applyBorder="1" applyAlignment="1">
      <alignment horizontal="center" vertical="center"/>
    </xf>
    <xf numFmtId="0" fontId="6" fillId="12" borderId="56" xfId="0" applyFont="1" applyFill="1" applyBorder="1" applyAlignment="1">
      <alignment horizontal="center" vertical="center"/>
    </xf>
    <xf numFmtId="0" fontId="6" fillId="11" borderId="65" xfId="0" applyFont="1" applyFill="1" applyBorder="1" applyAlignment="1">
      <alignment horizontal="center" vertical="center"/>
    </xf>
    <xf numFmtId="0" fontId="6" fillId="12" borderId="65" xfId="0" applyFont="1" applyFill="1" applyBorder="1" applyAlignment="1">
      <alignment horizontal="center" vertical="center"/>
    </xf>
    <xf numFmtId="0" fontId="18" fillId="0" borderId="0" xfId="1" applyAlignment="1">
      <alignment horizontal="center" vertical="center"/>
    </xf>
    <xf numFmtId="0" fontId="19" fillId="0" borderId="108" xfId="2" applyAlignment="1">
      <alignment horizontal="center" vertical="center"/>
    </xf>
    <xf numFmtId="1" fontId="0" fillId="0" borderId="103" xfId="0" applyNumberFormat="1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103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11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1" fontId="0" fillId="0" borderId="106" xfId="0" applyNumberFormat="1" applyBorder="1" applyAlignment="1">
      <alignment horizontal="center"/>
    </xf>
    <xf numFmtId="0" fontId="0" fillId="0" borderId="107" xfId="0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" fillId="0" borderId="23" xfId="0" applyFont="1" applyBorder="1"/>
    <xf numFmtId="0" fontId="3" fillId="0" borderId="11" xfId="0" applyFont="1" applyBorder="1" applyAlignment="1">
      <alignment horizontal="left" vertical="center"/>
    </xf>
    <xf numFmtId="0" fontId="1" fillId="0" borderId="12" xfId="0" applyFont="1" applyBorder="1"/>
    <xf numFmtId="0" fontId="0" fillId="2" borderId="7" xfId="0" applyFill="1" applyBorder="1" applyAlignment="1">
      <alignment horizontal="center" vertical="center" wrapText="1"/>
    </xf>
    <xf numFmtId="0" fontId="1" fillId="0" borderId="8" xfId="0" applyFont="1" applyBorder="1"/>
    <xf numFmtId="0" fontId="17" fillId="0" borderId="7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7" fillId="0" borderId="11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/>
    </xf>
    <xf numFmtId="0" fontId="1" fillId="0" borderId="15" xfId="0" applyFont="1" applyBorder="1"/>
    <xf numFmtId="0" fontId="0" fillId="2" borderId="14" xfId="0" applyFill="1" applyBorder="1" applyAlignment="1">
      <alignment horizontal="center" vertical="center" wrapText="1"/>
    </xf>
    <xf numFmtId="0" fontId="1" fillId="0" borderId="16" xfId="0" applyFont="1" applyBorder="1"/>
    <xf numFmtId="0" fontId="3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6" fillId="0" borderId="79" xfId="0" applyFont="1" applyBorder="1" applyAlignment="1">
      <alignment horizontal="left" vertical="center"/>
    </xf>
    <xf numFmtId="0" fontId="1" fillId="0" borderId="48" xfId="0" applyFont="1" applyBorder="1"/>
    <xf numFmtId="0" fontId="1" fillId="0" borderId="49" xfId="0" applyFont="1" applyBorder="1"/>
    <xf numFmtId="0" fontId="6" fillId="0" borderId="51" xfId="0" applyFont="1" applyBorder="1" applyAlignment="1">
      <alignment horizontal="left" vertical="center"/>
    </xf>
    <xf numFmtId="0" fontId="1" fillId="0" borderId="53" xfId="0" applyFont="1" applyBorder="1"/>
    <xf numFmtId="0" fontId="24" fillId="0" borderId="82" xfId="0" applyFont="1" applyBorder="1" applyAlignment="1">
      <alignment horizontal="left" vertical="center" wrapText="1"/>
    </xf>
    <xf numFmtId="0" fontId="25" fillId="0" borderId="52" xfId="0" applyFont="1" applyBorder="1"/>
    <xf numFmtId="0" fontId="25" fillId="0" borderId="54" xfId="0" applyFont="1" applyBorder="1"/>
    <xf numFmtId="0" fontId="25" fillId="0" borderId="55" xfId="0" applyFont="1" applyBorder="1"/>
    <xf numFmtId="0" fontId="6" fillId="0" borderId="84" xfId="0" applyFont="1" applyBorder="1" applyAlignment="1">
      <alignment horizontal="left" vertical="center"/>
    </xf>
    <xf numFmtId="0" fontId="1" fillId="0" borderId="59" xfId="0" applyFont="1" applyBorder="1"/>
    <xf numFmtId="0" fontId="1" fillId="0" borderId="60" xfId="0" applyFont="1" applyBorder="1"/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37" xfId="0" applyFont="1" applyBorder="1" applyAlignment="1">
      <alignment horizontal="left" vertical="center" textRotation="90"/>
    </xf>
    <xf numFmtId="0" fontId="1" fillId="0" borderId="42" xfId="0" applyFont="1" applyBorder="1"/>
    <xf numFmtId="0" fontId="1" fillId="0" borderId="86" xfId="0" applyFont="1" applyBorder="1"/>
    <xf numFmtId="0" fontId="6" fillId="0" borderId="83" xfId="0" applyFont="1" applyBorder="1" applyAlignment="1">
      <alignment horizontal="left" vertical="center"/>
    </xf>
    <xf numFmtId="0" fontId="1" fillId="0" borderId="83" xfId="0" applyFont="1" applyBorder="1"/>
    <xf numFmtId="0" fontId="6" fillId="0" borderId="34" xfId="0" applyFont="1" applyBorder="1" applyAlignment="1">
      <alignment horizontal="center" vertical="center"/>
    </xf>
    <xf numFmtId="0" fontId="1" fillId="0" borderId="35" xfId="0" applyFont="1" applyBorder="1"/>
    <xf numFmtId="0" fontId="1" fillId="0" borderId="36" xfId="0" applyFont="1" applyBorder="1"/>
    <xf numFmtId="0" fontId="6" fillId="0" borderId="30" xfId="0" applyFont="1" applyBorder="1" applyAlignment="1">
      <alignment horizontal="left" vertical="center"/>
    </xf>
    <xf numFmtId="0" fontId="1" fillId="0" borderId="38" xfId="0" applyFont="1" applyBorder="1"/>
    <xf numFmtId="0" fontId="1" fillId="0" borderId="43" xfId="0" applyFont="1" applyBorder="1"/>
    <xf numFmtId="0" fontId="6" fillId="0" borderId="31" xfId="0" applyFont="1" applyBorder="1" applyAlignment="1">
      <alignment horizontal="left" vertical="center"/>
    </xf>
    <xf numFmtId="0" fontId="1" fillId="0" borderId="32" xfId="0" applyFont="1" applyBorder="1"/>
    <xf numFmtId="0" fontId="1" fillId="0" borderId="33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6" fillId="0" borderId="81" xfId="0" applyFont="1" applyBorder="1" applyAlignment="1">
      <alignment horizontal="left" vertical="center"/>
    </xf>
    <xf numFmtId="0" fontId="1" fillId="0" borderId="64" xfId="0" applyFont="1" applyBorder="1"/>
    <xf numFmtId="0" fontId="6" fillId="0" borderId="72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 textRotation="180"/>
    </xf>
    <xf numFmtId="0" fontId="1" fillId="0" borderId="67" xfId="0" applyFont="1" applyBorder="1"/>
    <xf numFmtId="0" fontId="1" fillId="0" borderId="70" xfId="0" applyFont="1" applyBorder="1"/>
    <xf numFmtId="0" fontId="6" fillId="0" borderId="80" xfId="0" applyFont="1" applyBorder="1" applyAlignment="1">
      <alignment horizontal="left" vertical="center"/>
    </xf>
    <xf numFmtId="0" fontId="1" fillId="0" borderId="71" xfId="0" applyFont="1" applyBorder="1"/>
    <xf numFmtId="0" fontId="6" fillId="0" borderId="79" xfId="0" applyFont="1" applyBorder="1" applyAlignment="1">
      <alignment horizontal="left" vertical="center" wrapText="1"/>
    </xf>
    <xf numFmtId="0" fontId="6" fillId="0" borderId="7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textRotation="180"/>
    </xf>
    <xf numFmtId="0" fontId="6" fillId="0" borderId="49" xfId="0" applyFont="1" applyBorder="1" applyAlignment="1">
      <alignment horizontal="left" vertical="center"/>
    </xf>
    <xf numFmtId="0" fontId="20" fillId="0" borderId="79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1" fillId="0" borderId="63" xfId="0" applyFont="1" applyBorder="1"/>
    <xf numFmtId="0" fontId="1" fillId="0" borderId="68" xfId="0" applyFont="1" applyBorder="1"/>
    <xf numFmtId="0" fontId="6" fillId="0" borderId="49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/>
    </xf>
    <xf numFmtId="0" fontId="1" fillId="0" borderId="75" xfId="0" applyFont="1" applyBorder="1"/>
    <xf numFmtId="0" fontId="1" fillId="0" borderId="76" xfId="0" applyFont="1" applyBorder="1"/>
    <xf numFmtId="0" fontId="7" fillId="0" borderId="0" xfId="0" quotePrefix="1" applyFont="1" applyAlignment="1">
      <alignment horizontal="left" vertical="center" wrapText="1"/>
    </xf>
    <xf numFmtId="0" fontId="6" fillId="0" borderId="82" xfId="0" applyFont="1" applyBorder="1" applyAlignment="1">
      <alignment horizontal="left" vertical="center" wrapText="1"/>
    </xf>
    <xf numFmtId="0" fontId="1" fillId="0" borderId="52" xfId="0" applyFont="1" applyBorder="1"/>
    <xf numFmtId="0" fontId="1" fillId="0" borderId="54" xfId="0" applyFont="1" applyBorder="1"/>
    <xf numFmtId="0" fontId="1" fillId="0" borderId="55" xfId="0" applyFont="1" applyBorder="1"/>
    <xf numFmtId="0" fontId="6" fillId="0" borderId="37" xfId="0" applyFont="1" applyBorder="1" applyAlignment="1">
      <alignment horizontal="center" vertical="center" textRotation="90"/>
    </xf>
    <xf numFmtId="0" fontId="6" fillId="0" borderId="75" xfId="0" applyFont="1" applyBorder="1" applyAlignment="1">
      <alignment horizontal="left" vertical="center"/>
    </xf>
    <xf numFmtId="0" fontId="1" fillId="0" borderId="78" xfId="0" applyFont="1" applyBorder="1"/>
    <xf numFmtId="0" fontId="6" fillId="2" borderId="79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82" xfId="0" applyFont="1" applyFill="1" applyBorder="1" applyAlignment="1">
      <alignment horizontal="left" vertical="center" wrapText="1"/>
    </xf>
    <xf numFmtId="0" fontId="6" fillId="2" borderId="84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left" vertical="center" textRotation="90"/>
    </xf>
    <xf numFmtId="0" fontId="6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6" fillId="2" borderId="83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49" fontId="8" fillId="0" borderId="96" xfId="0" applyNumberFormat="1" applyFont="1" applyBorder="1" applyAlignment="1">
      <alignment horizontal="left" vertical="center"/>
    </xf>
    <xf numFmtId="0" fontId="1" fillId="0" borderId="97" xfId="0" applyFont="1" applyBorder="1"/>
    <xf numFmtId="49" fontId="11" fillId="0" borderId="88" xfId="0" applyNumberFormat="1" applyFont="1" applyBorder="1" applyAlignment="1">
      <alignment horizontal="left" vertical="center"/>
    </xf>
    <xf numFmtId="0" fontId="1" fillId="0" borderId="89" xfId="0" applyFont="1" applyBorder="1"/>
    <xf numFmtId="0" fontId="1" fillId="0" borderId="90" xfId="0" applyFont="1" applyBorder="1"/>
    <xf numFmtId="49" fontId="11" fillId="4" borderId="98" xfId="0" applyNumberFormat="1" applyFont="1" applyFill="1" applyBorder="1" applyAlignment="1">
      <alignment horizontal="left" vertical="center"/>
    </xf>
    <xf numFmtId="0" fontId="1" fillId="0" borderId="99" xfId="0" applyFont="1" applyBorder="1"/>
    <xf numFmtId="0" fontId="1" fillId="0" borderId="100" xfId="0" applyFont="1" applyBorder="1"/>
    <xf numFmtId="49" fontId="8" fillId="0" borderId="88" xfId="0" applyNumberFormat="1" applyFont="1" applyBorder="1" applyAlignment="1">
      <alignment horizontal="left" vertical="center"/>
    </xf>
    <xf numFmtId="0" fontId="1" fillId="0" borderId="93" xfId="0" applyFont="1" applyBorder="1"/>
    <xf numFmtId="49" fontId="11" fillId="4" borderId="92" xfId="0" applyNumberFormat="1" applyFont="1" applyFill="1" applyBorder="1" applyAlignment="1">
      <alignment horizontal="left" vertical="center"/>
    </xf>
    <xf numFmtId="165" fontId="11" fillId="4" borderId="92" xfId="0" applyNumberFormat="1" applyFont="1" applyFill="1" applyBorder="1" applyAlignment="1">
      <alignment horizontal="center" vertical="center"/>
    </xf>
    <xf numFmtId="49" fontId="11" fillId="4" borderId="92" xfId="0" applyNumberFormat="1" applyFont="1" applyFill="1" applyBorder="1" applyAlignment="1">
      <alignment horizontal="center" vertical="center"/>
    </xf>
    <xf numFmtId="49" fontId="8" fillId="0" borderId="88" xfId="0" applyNumberFormat="1" applyFont="1" applyBorder="1" applyAlignment="1">
      <alignment horizontal="left" vertical="center" wrapText="1"/>
    </xf>
    <xf numFmtId="49" fontId="8" fillId="0" borderId="88" xfId="0" applyNumberFormat="1" applyFont="1" applyBorder="1" applyAlignment="1">
      <alignment horizontal="center" vertical="center"/>
    </xf>
    <xf numFmtId="165" fontId="11" fillId="4" borderId="92" xfId="0" applyNumberFormat="1" applyFont="1" applyFill="1" applyBorder="1" applyAlignment="1">
      <alignment horizontal="left" vertical="center"/>
    </xf>
    <xf numFmtId="14" fontId="11" fillId="4" borderId="92" xfId="0" applyNumberFormat="1" applyFont="1" applyFill="1" applyBorder="1" applyAlignment="1">
      <alignment horizontal="left" vertical="center"/>
    </xf>
    <xf numFmtId="49" fontId="8" fillId="0" borderId="88" xfId="0" applyNumberFormat="1" applyFont="1" applyBorder="1" applyAlignment="1">
      <alignment horizontal="left"/>
    </xf>
    <xf numFmtId="0" fontId="8" fillId="0" borderId="88" xfId="0" applyFont="1" applyBorder="1" applyAlignment="1">
      <alignment horizontal="left" vertical="center"/>
    </xf>
    <xf numFmtId="49" fontId="10" fillId="0" borderId="88" xfId="0" applyNumberFormat="1" applyFont="1" applyBorder="1" applyAlignment="1">
      <alignment horizontal="center" vertical="center"/>
    </xf>
    <xf numFmtId="49" fontId="11" fillId="0" borderId="88" xfId="0" applyNumberFormat="1" applyFont="1" applyBorder="1" applyAlignment="1">
      <alignment horizontal="left" vertical="center" wrapText="1"/>
    </xf>
    <xf numFmtId="49" fontId="8" fillId="0" borderId="92" xfId="0" applyNumberFormat="1" applyFont="1" applyBorder="1" applyAlignment="1">
      <alignment horizontal="left" vertical="center"/>
    </xf>
  </cellXfs>
  <cellStyles count="6">
    <cellStyle name="Day" xfId="5" xr:uid="{08DBAF61-9470-4E2C-82CF-B5E522637D6A}"/>
    <cellStyle name="Heading 1" xfId="2" builtinId="16"/>
    <cellStyle name="Normal" xfId="0" builtinId="0"/>
    <cellStyle name="Normal 2" xfId="3" xr:uid="{0E08BF40-817A-43E2-985B-266A42D5738B}"/>
    <cellStyle name="Title" xfId="1" builtinId="15"/>
    <cellStyle name="WeekDay" xfId="4" xr:uid="{1EDE594D-CDC2-40A3-9CC7-AF300A6F7996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88"/>
  <sheetViews>
    <sheetView tabSelected="1" topLeftCell="A5" workbookViewId="0">
      <selection activeCell="AZ30" sqref="AZ30"/>
    </sheetView>
  </sheetViews>
  <sheetFormatPr defaultRowHeight="15" customHeight="1" x14ac:dyDescent="0.25"/>
  <cols>
    <col min="2" max="48" width="4.28515625" customWidth="1"/>
  </cols>
  <sheetData>
    <row r="1" spans="1:53" ht="30" customHeight="1" x14ac:dyDescent="0.25">
      <c r="B1" s="151">
        <v>2026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</row>
    <row r="2" spans="1:53" ht="18" customHeight="1" thickBot="1" x14ac:dyDescent="0.3">
      <c r="B2" s="152" t="s">
        <v>0</v>
      </c>
      <c r="C2" s="152"/>
      <c r="D2" s="152"/>
      <c r="E2" s="152"/>
      <c r="F2" s="152"/>
      <c r="G2" s="152"/>
      <c r="H2" s="152"/>
      <c r="J2" s="152" t="s">
        <v>1</v>
      </c>
      <c r="K2" s="152"/>
      <c r="L2" s="152"/>
      <c r="M2" s="152"/>
      <c r="N2" s="152"/>
      <c r="O2" s="152"/>
      <c r="P2" s="152"/>
      <c r="R2" s="152" t="s">
        <v>2</v>
      </c>
      <c r="S2" s="152"/>
      <c r="T2" s="152"/>
      <c r="U2" s="152"/>
      <c r="V2" s="152"/>
      <c r="W2" s="152"/>
      <c r="X2" s="152"/>
      <c r="Z2" s="152" t="s">
        <v>3</v>
      </c>
      <c r="AA2" s="152"/>
      <c r="AB2" s="152"/>
      <c r="AC2" s="152"/>
      <c r="AD2" s="152"/>
      <c r="AE2" s="152"/>
      <c r="AF2" s="152"/>
      <c r="AH2" s="152" t="s">
        <v>4</v>
      </c>
      <c r="AI2" s="152"/>
      <c r="AJ2" s="152"/>
      <c r="AK2" s="152"/>
      <c r="AL2" s="152"/>
      <c r="AM2" s="152"/>
      <c r="AN2" s="152"/>
      <c r="AO2" s="111"/>
      <c r="AP2" s="152" t="s">
        <v>5</v>
      </c>
      <c r="AQ2" s="152"/>
      <c r="AR2" s="152"/>
      <c r="AS2" s="152"/>
      <c r="AT2" s="152"/>
      <c r="AU2" s="152"/>
      <c r="AV2" s="152"/>
      <c r="AW2" s="111"/>
      <c r="AX2" s="111"/>
      <c r="AY2" s="111"/>
      <c r="AZ2" s="111"/>
      <c r="BA2" s="111"/>
    </row>
    <row r="3" spans="1:53" ht="15.75" thickTop="1" x14ac:dyDescent="0.25">
      <c r="B3" s="112" t="s">
        <v>6</v>
      </c>
      <c r="C3" s="145" t="str">
        <f>IF(AND(YEAR(JanSun1)=Year,MONTH(JanSun1)=1),JanSun1, "")</f>
        <v/>
      </c>
      <c r="D3" s="145">
        <f>IF(AND(YEAR(JanSun1+7)=Year,MONTH(JanSun1+7)=1),JanSun1+7, "")</f>
        <v>46027</v>
      </c>
      <c r="E3" s="113">
        <f>IF(AND(YEAR(JanSun1+14)=Year,MONTH(JanSun1+14)=1),JanSun1+14, "")</f>
        <v>46034</v>
      </c>
      <c r="F3" s="113">
        <f>IF(AND(YEAR(JanSun1+21)=Year,MONTH(JanSun1+21)=1),JanSun1+21, "")</f>
        <v>46041</v>
      </c>
      <c r="G3" s="113">
        <f>IF(AND(YEAR(JanSun1+28)=Year,MONTH(JanSun1+28)=1),JanSun1+28, "")</f>
        <v>46048</v>
      </c>
      <c r="H3" s="113" t="str">
        <f>IF(AND(YEAR(JanSun1+35)=Year,MONTH(JanSun1+35)=1),JanSun1+35, "")</f>
        <v/>
      </c>
      <c r="J3" s="112" t="s">
        <v>6</v>
      </c>
      <c r="K3" s="113"/>
      <c r="L3" s="113">
        <f>IF(AND(YEAR(FebSun1)=Year,MONTH(FebSun1)=2),FebSun1, "")</f>
        <v>46055</v>
      </c>
      <c r="M3" s="113">
        <f>IF(AND(YEAR(FebSun1+7)=Year,MONTH(FebSun1+7)=2),FebSun1+7, "")</f>
        <v>46062</v>
      </c>
      <c r="N3" s="113">
        <f>IF(AND(YEAR(FebSun1+14)=Year,MONTH(FebSun1+14)=2),FebSun1+14, "")</f>
        <v>46069</v>
      </c>
      <c r="O3" s="113">
        <f>IF(AND(YEAR(FebSun1+21)=Year,MONTH(FebSun1+21)=2),FebSun1+21, "")</f>
        <v>46076</v>
      </c>
      <c r="P3" s="113" t="str">
        <f>IF(AND(YEAR(FebSun1+28)=Year,MONTH(FebSun1+28)=2),FebSun1+28, "")</f>
        <v/>
      </c>
      <c r="R3" s="112" t="s">
        <v>6</v>
      </c>
      <c r="S3" s="113"/>
      <c r="T3" s="113">
        <f>IF(AND(YEAR(MarSun1)=Year,MONTH(MarSun1)=3),MarSun1, "")</f>
        <v>46083</v>
      </c>
      <c r="U3" s="113">
        <f>IF(AND(YEAR(MarSun1+7)=Year,MONTH(MarSun1+7)=3),MarSun1+7, "")</f>
        <v>46090</v>
      </c>
      <c r="V3" s="113">
        <f>IF(AND(YEAR(MarSun1+14)=Year,MONTH(MarSun1+14)=3),MarSun1+14, "")</f>
        <v>46097</v>
      </c>
      <c r="W3" s="113">
        <f>IF(AND(YEAR(MarSun1+21)=Year,MONTH(MarSun1+21)=3),MarSun1+21, "")</f>
        <v>46104</v>
      </c>
      <c r="X3" s="113">
        <f>IF(AND(YEAR(MarSun1+28)=Year,MONTH(MarSun1+28)=3),MarSun1+28, "")</f>
        <v>46111</v>
      </c>
      <c r="Z3" s="112" t="s">
        <v>6</v>
      </c>
      <c r="AA3" s="113" t="str">
        <f>IF(AND(YEAR(AprSun1)=Year,MONTH(AprSun1)=4),AprSun1, "")</f>
        <v/>
      </c>
      <c r="AB3" s="114">
        <f>IF(AND(YEAR(AprSun1+7)=Year,MONTH(AprSun1+7)=4),AprSun1+7, "")</f>
        <v>46118</v>
      </c>
      <c r="AC3" s="113">
        <f>IF(AND(YEAR(AprSun1+14)=Year,MONTH(AprSun1+14)=4),AprSun1+14, "")</f>
        <v>46125</v>
      </c>
      <c r="AD3" s="145">
        <f>IF(AND(YEAR(AprSun1+21)=Year,MONTH(AprSun1+21)=4),AprSun1+21, "")</f>
        <v>46132</v>
      </c>
      <c r="AE3" s="113">
        <f>IF(AND(YEAR(AprSun1+28)=Year,MONTH(AprSun1+28)=4),AprSun1+28, "")</f>
        <v>46139</v>
      </c>
      <c r="AF3" s="113" t="str">
        <f>IF(AND(YEAR(AprSun1+35)=Year,MONTH(AprSun1+35)=4),AprSun1+35, "")</f>
        <v/>
      </c>
      <c r="AH3" s="112" t="s">
        <v>6</v>
      </c>
      <c r="AI3" s="113" t="str">
        <f>IF(AND(YEAR(MaySun1)=Year,MONTH(MaySun1)=5),MaySun1, "")</f>
        <v/>
      </c>
      <c r="AJ3" s="113">
        <f>IF(AND(YEAR(MaySun1+7)=Year,MONTH(MaySun1+7)=5),MaySun1+7, "")</f>
        <v>46146</v>
      </c>
      <c r="AK3" s="113">
        <f>IF(AND(YEAR(MaySun1+14)=Year,MONTH(MaySun1+14)=5),MaySun1+14, "")</f>
        <v>46153</v>
      </c>
      <c r="AL3" s="113">
        <f>IF(AND(YEAR(MaySun1+21)=Year,MONTH(MaySun1+21)=5),MaySun1+21, "")</f>
        <v>46160</v>
      </c>
      <c r="AM3" s="113">
        <f>IF(AND(YEAR(MaySun1+28)=Year,MONTH(MaySun1+28)=5),MaySun1+28, "")</f>
        <v>46167</v>
      </c>
      <c r="AN3" s="113" t="str">
        <f>IF(AND(YEAR(MaySun1+35)=Year,MONTH(MaySun1+35)=5),MaySun1+35, "")</f>
        <v/>
      </c>
      <c r="AP3" s="112" t="s">
        <v>6</v>
      </c>
      <c r="AQ3" s="113">
        <f>IF(AND(YEAR(JunSun1)=Year,MONTH(JunSun1)=6),JunSun1, "")</f>
        <v>46174</v>
      </c>
      <c r="AR3" s="113">
        <f>IF(AND(YEAR(JunSun1+7)=Year,MONTH(JunSun1+7)=6),JunSun1+7, "")</f>
        <v>46181</v>
      </c>
      <c r="AS3" s="113">
        <f>IF(AND(YEAR(JunSun1+14)=Year,MONTH(JunSun1+14)=6),JunSun1+14, "")</f>
        <v>46188</v>
      </c>
      <c r="AT3" s="114">
        <f>IF(AND(YEAR(JunSun1+21)=Year,MONTH(JunSun1+21)=6),JunSun1+21, "")</f>
        <v>46195</v>
      </c>
      <c r="AU3" s="113">
        <f>IF(AND(YEAR(JunSun1+28)=Year,MONTH(JunSun1+28)=6),JunSun1+28, "")</f>
        <v>46202</v>
      </c>
      <c r="AV3" s="113" t="str">
        <f>IF(AND(YEAR(JunSun1+35)=Year,MONTH(JunSun1+35)=6),JunSun1+35, "")</f>
        <v/>
      </c>
    </row>
    <row r="4" spans="1:53" x14ac:dyDescent="0.25">
      <c r="B4" s="112" t="s">
        <v>7</v>
      </c>
      <c r="C4" s="145" t="str">
        <f>IF(AND(YEAR(JanSun1+1)=Year,MONTH(JanSun1+1)=1),JanSun1+1, "")</f>
        <v/>
      </c>
      <c r="D4" s="114">
        <f>IF(AND(YEAR(JanSun1+8)=Year,MONTH(JanSun1+8)=1),JanSun1+8, "")</f>
        <v>46028</v>
      </c>
      <c r="E4" s="113">
        <f>IF(AND(YEAR(JanSun1+15)=Year,MONTH(JanSun1+15)=1),JanSun1+15, "")</f>
        <v>46035</v>
      </c>
      <c r="F4" s="113">
        <f>IF(AND(YEAR(JanSun1+22)=Year,MONTH(JanSun1+22)=1),JanSun1+22, "")</f>
        <v>46042</v>
      </c>
      <c r="G4" s="113">
        <f>IF(AND(YEAR(JanSun1+29)=Year,MONTH(JanSun1+29)=1),JanSun1+29, "")</f>
        <v>46049</v>
      </c>
      <c r="H4" s="113" t="str">
        <f>IF(AND(YEAR(JanSun1+36)=Year,MONTH(JanSun1+36)=1),JanSun1+36, "")</f>
        <v/>
      </c>
      <c r="J4" s="112" t="s">
        <v>7</v>
      </c>
      <c r="K4" s="113"/>
      <c r="L4" s="113">
        <f>IF(AND(YEAR(FebSun1+1)=Year,MONTH(FebSun1+1)=2),FebSun1+1, "")</f>
        <v>46056</v>
      </c>
      <c r="M4" s="113">
        <f>IF(AND(YEAR(FebSun1+8)=Year,MONTH(FebSun1+8)=2),FebSun1+8, "")</f>
        <v>46063</v>
      </c>
      <c r="N4" s="113">
        <f>IF(AND(YEAR(FebSun1+15)=Year,MONTH(FebSun1+15)=2),FebSun1+15, "")</f>
        <v>46070</v>
      </c>
      <c r="O4" s="113">
        <f>IF(AND(YEAR(FebSun1+22)=Year,MONTH(FebSun1+22)=2),FebSun1+22, "")</f>
        <v>46077</v>
      </c>
      <c r="P4" s="113" t="str">
        <f>IF(AND(YEAR(FebSun1+29)=Year,MONTH(FebSun1+29)=2),FebSun1+29, "")</f>
        <v/>
      </c>
      <c r="R4" s="112" t="s">
        <v>7</v>
      </c>
      <c r="S4" s="113"/>
      <c r="T4" s="113">
        <f>IF(AND(YEAR(MarSun1+1)=Year,MONTH(MarSun1+1)=3),MarSun1+1, "")</f>
        <v>46084</v>
      </c>
      <c r="U4" s="113">
        <f>IF(AND(YEAR(MarSun1+8)=Year,MONTH(MarSun1+8)=3),MarSun1+8, "")</f>
        <v>46091</v>
      </c>
      <c r="V4" s="113">
        <f>IF(AND(YEAR(MarSun1+15)=Year,MONTH(MarSun1+15)=3),MarSun1+15, "")</f>
        <v>46098</v>
      </c>
      <c r="W4" s="113">
        <f>IF(AND(YEAR(MarSun1+22)=Year,MONTH(MarSun1+22)=3),MarSun1+22, "")</f>
        <v>46105</v>
      </c>
      <c r="X4" s="113">
        <f>IF(AND(YEAR(MarSun1+29)=Year,MONTH(MarSun1+29)=3),MarSun1+29, "")</f>
        <v>46112</v>
      </c>
      <c r="Z4" s="112" t="s">
        <v>7</v>
      </c>
      <c r="AA4" s="113" t="str">
        <f>IF(AND(YEAR(AprSun1+1)=Year,MONTH(AprSun1+1)=4),AprSun1+1, "")</f>
        <v/>
      </c>
      <c r="AB4" s="113">
        <f>IF(AND(YEAR(AprSun1+8)=Year,MONTH(AprSun1+8)=4),AprSun1+8, "")</f>
        <v>46119</v>
      </c>
      <c r="AC4" s="113">
        <f>IF(AND(YEAR(AprSun1+15)=Year,MONTH(AprSun1+15)=4),AprSun1+15, "")</f>
        <v>46126</v>
      </c>
      <c r="AD4" s="113">
        <f>IF(AND(YEAR(AprSun1+22)=Year,MONTH(AprSun1+22)=4),AprSun1+22, "")</f>
        <v>46133</v>
      </c>
      <c r="AE4" s="113">
        <f>IF(AND(YEAR(AprSun1+29)=Year,MONTH(AprSun1+29)=4),AprSun1+29, "")</f>
        <v>46140</v>
      </c>
      <c r="AF4" s="113" t="str">
        <f>IF(AND(YEAR(AprSun1+36)=Year,MONTH(AprSun1+36)=4),AprSun1+36, "")</f>
        <v/>
      </c>
      <c r="AH4" s="112" t="s">
        <v>7</v>
      </c>
      <c r="AI4" s="113" t="str">
        <f>IF(AND(YEAR(MaySun1+1)=Year,MONTH(MaySun1+1)=5),MaySun1+1, "")</f>
        <v/>
      </c>
      <c r="AJ4" s="113">
        <f>IF(AND(YEAR(MaySun1+8)=Year,MONTH(MaySun1+8)=5),MaySun1+8, "")</f>
        <v>46147</v>
      </c>
      <c r="AK4" s="113">
        <f>IF(AND(YEAR(MaySun1+15)=Year,MONTH(MaySun1+15)=5),MaySun1+15, "")</f>
        <v>46154</v>
      </c>
      <c r="AL4" s="113">
        <f>IF(AND(YEAR(MaySun1+22)=Year,MONTH(MaySun1+22)=5),MaySun1+22, "")</f>
        <v>46161</v>
      </c>
      <c r="AM4" s="113">
        <f>IF(AND(YEAR(MaySun1+29)=Year,MONTH(MaySun1+29)=5),MaySun1+29, "")</f>
        <v>46168</v>
      </c>
      <c r="AN4" s="113" t="str">
        <f>IF(AND(YEAR(MaySun1+36)=Year,MONTH(MaySun1+36)=5),MaySun1+36, "")</f>
        <v/>
      </c>
      <c r="AP4" s="112" t="s">
        <v>7</v>
      </c>
      <c r="AQ4" s="113">
        <f>IF(AND(YEAR(JunSun1+1)=Year,MONTH(JunSun1+1)=6),JunSun1+1, "")</f>
        <v>46175</v>
      </c>
      <c r="AR4" s="113">
        <f>IF(AND(YEAR(JunSun1+8)=Year,MONTH(JunSun1+8)=6),JunSun1+8, "")</f>
        <v>46182</v>
      </c>
      <c r="AS4" s="113">
        <f>IF(AND(YEAR(JunSun1+15)=Year,MONTH(JunSun1+15)=6),JunSun1+15, "")</f>
        <v>46189</v>
      </c>
      <c r="AT4" s="113">
        <f>IF(AND(YEAR(JunSun1+22)=Year,MONTH(JunSun1+22)=6),JunSun1+22, "")</f>
        <v>46196</v>
      </c>
      <c r="AU4" s="113">
        <f>IF(AND(YEAR(JunSun1+29)=Year,MONTH(JunSun1+29)=6),JunSun1+29, "")</f>
        <v>46203</v>
      </c>
      <c r="AV4" s="113" t="str">
        <f>IF(AND(YEAR(JunSun1+36)=Year,MONTH(JunSun1+36)=6),JunSun1+36, "")</f>
        <v/>
      </c>
    </row>
    <row r="5" spans="1:53" x14ac:dyDescent="0.25">
      <c r="B5" s="112" t="s">
        <v>8</v>
      </c>
      <c r="C5" s="145" t="str">
        <f>IF(AND(YEAR(JanSun1+2)=Year,MONTH(JanSun1+2)=1),JanSun1+2, "")</f>
        <v/>
      </c>
      <c r="D5" s="145">
        <f>IF(AND(YEAR(JanSun1+9)=Year,MONTH(JanSun1+9)=1),JanSun1+9, "")</f>
        <v>46029</v>
      </c>
      <c r="E5" s="113">
        <f>IF(AND(YEAR(JanSun1+16)=Year,MONTH(JanSun1+16)=1),JanSun1+16, "")</f>
        <v>46036</v>
      </c>
      <c r="F5" s="113">
        <f>IF(AND(YEAR(JanSun1+23)=Year,MONTH(JanSun1+23)=1),JanSun1+23, "")</f>
        <v>46043</v>
      </c>
      <c r="G5" s="113">
        <f>IF(AND(YEAR(JanSun1+30)=Year,MONTH(JanSun1+30)=1),JanSun1+30, "")</f>
        <v>46050</v>
      </c>
      <c r="H5" s="113" t="str">
        <f>IF(AND(YEAR(JanSun1+37)=Year,MONTH(JanSun1+37)=1),JanSun1+37, "")</f>
        <v/>
      </c>
      <c r="J5" s="112" t="s">
        <v>8</v>
      </c>
      <c r="K5" s="113"/>
      <c r="L5" s="113">
        <f>IF(AND(YEAR(FebSun1+2)=Year,MONTH(FebSun1+2)=2),FebSun1+2, "")</f>
        <v>46057</v>
      </c>
      <c r="M5" s="113">
        <f>IF(AND(YEAR(FebSun1+9)=Year,MONTH(FebSun1+9)=2),FebSun1+9, "")</f>
        <v>46064</v>
      </c>
      <c r="N5" s="113">
        <f>IF(AND(YEAR(FebSun1+16)=Year,MONTH(FebSun1+16)=2),FebSun1+16, "")</f>
        <v>46071</v>
      </c>
      <c r="O5" s="113">
        <f>IF(AND(YEAR(FebSun1+23)=Year,MONTH(FebSun1+23)=2),FebSun1+23, "")</f>
        <v>46078</v>
      </c>
      <c r="P5" s="113" t="str">
        <f>IF(AND(YEAR(FebSun1+30)=Year,MONTH(FebSun1+30)=2),FebSun1+30, "")</f>
        <v/>
      </c>
      <c r="R5" s="112" t="s">
        <v>8</v>
      </c>
      <c r="S5" s="113"/>
      <c r="T5" s="113">
        <f>IF(AND(YEAR(MarSun1+2)=Year,MONTH(MarSun1+2)=3),MarSun1+2, "")</f>
        <v>46085</v>
      </c>
      <c r="U5" s="113">
        <f>IF(AND(YEAR(MarSun1+9)=Year,MONTH(MarSun1+9)=3),MarSun1+9, "")</f>
        <v>46092</v>
      </c>
      <c r="V5" s="113">
        <f>IF(AND(YEAR(MarSun1+16)=Year,MONTH(MarSun1+16)=3),MarSun1+16, "")</f>
        <v>46099</v>
      </c>
      <c r="W5" s="113">
        <f>IF(AND(YEAR(MarSun1+23)=Year,MONTH(MarSun1+23)=3),MarSun1+23, "")</f>
        <v>46106</v>
      </c>
      <c r="X5" s="113" t="str">
        <f>IF(AND(YEAR(MarSun1+30)=Year,MONTH(MarSun1+30)=3),MarSun1+30, "")</f>
        <v/>
      </c>
      <c r="Z5" s="112" t="s">
        <v>8</v>
      </c>
      <c r="AA5" s="113">
        <f>IF(AND(YEAR(AprSun1+2)=Year,MONTH(AprSun1+2)=4),AprSun1+2, "")</f>
        <v>46113</v>
      </c>
      <c r="AB5" s="113">
        <f>IF(AND(YEAR(AprSun1+9)=Year,MONTH(AprSun1+9)=4),AprSun1+9, "")</f>
        <v>46120</v>
      </c>
      <c r="AC5" s="113">
        <f>IF(AND(YEAR(AprSun1+16)=Year,MONTH(AprSun1+16)=4),AprSun1+16, "")</f>
        <v>46127</v>
      </c>
      <c r="AD5" s="113">
        <f>IF(AND(YEAR(AprSun1+23)=Year,MONTH(AprSun1+23)=4),AprSun1+23, "")</f>
        <v>46134</v>
      </c>
      <c r="AE5" s="113">
        <f>IF(AND(YEAR(AprSun1+30)=Year,MONTH(AprSun1+30)=4),AprSun1+30, "")</f>
        <v>46141</v>
      </c>
      <c r="AF5" s="113" t="str">
        <f>IF(AND(YEAR(AprSun1+37)=Year,MONTH(AprSun1+37)=4),AprSun1+37, "")</f>
        <v/>
      </c>
      <c r="AH5" s="112" t="s">
        <v>8</v>
      </c>
      <c r="AI5" s="113" t="str">
        <f>IF(AND(YEAR(MaySun1+2)=Year,MONTH(MaySun1+2)=5),MaySun1+2, "")</f>
        <v/>
      </c>
      <c r="AJ5" s="113">
        <f>IF(AND(YEAR(MaySun1+9)=Year,MONTH(MaySun1+9)=5),MaySun1+9, "")</f>
        <v>46148</v>
      </c>
      <c r="AK5" s="113">
        <f>IF(AND(YEAR(MaySun1+16)=Year,MONTH(MaySun1+16)=5),MaySun1+16, "")</f>
        <v>46155</v>
      </c>
      <c r="AL5" s="113">
        <f>IF(AND(YEAR(MaySun1+23)=Year,MONTH(MaySun1+23)=5),MaySun1+23, "")</f>
        <v>46162</v>
      </c>
      <c r="AM5" s="113">
        <f>IF(AND(YEAR(MaySun1+30)=Year,MONTH(MaySun1+30)=5),MaySun1+30, "")</f>
        <v>46169</v>
      </c>
      <c r="AN5" s="113" t="str">
        <f>IF(AND(YEAR(MaySun1+37)=Year,MONTH(MaySun1+37)=5),MaySun1+37, "")</f>
        <v/>
      </c>
      <c r="AP5" s="112" t="s">
        <v>8</v>
      </c>
      <c r="AQ5" s="113">
        <f>IF(AND(YEAR(JunSun1+2)=Year,MONTH(JunSun1+2)=6),JunSun1+2, "")</f>
        <v>46176</v>
      </c>
      <c r="AR5" s="113">
        <f>IF(AND(YEAR(JunSun1+9)=Year,MONTH(JunSun1+9)=6),JunSun1+9, "")</f>
        <v>46183</v>
      </c>
      <c r="AS5" s="113">
        <f>IF(AND(YEAR(JunSun1+16)=Year,MONTH(JunSun1+16)=6),JunSun1+16, "")</f>
        <v>46190</v>
      </c>
      <c r="AT5" s="113">
        <f>IF(AND(YEAR(JunSun1+23)=Year,MONTH(JunSun1+23)=6),JunSun1+23, "")</f>
        <v>46197</v>
      </c>
      <c r="AU5" s="113" t="str">
        <f>IF(AND(YEAR(JunSun1+30)=Year,MONTH(JunSun1+30)=6),JunSun1+30, "")</f>
        <v/>
      </c>
      <c r="AV5" s="113" t="str">
        <f>IF(AND(YEAR(JunSun1+37)=Year,MONTH(JunSun1+37)=6),JunSun1+37, "")</f>
        <v/>
      </c>
    </row>
    <row r="6" spans="1:53" x14ac:dyDescent="0.25">
      <c r="B6" s="112" t="s">
        <v>9</v>
      </c>
      <c r="C6" s="114">
        <f>IF(AND(YEAR(JanSun1+3)=Year,MONTH(JanSun1+3)=1),JanSun1+3, "")</f>
        <v>46023</v>
      </c>
      <c r="D6" s="113">
        <f>IF(AND(YEAR(JanSun1+10)=Year,MONTH(JanSun1+10)=1),JanSun1+10, "")</f>
        <v>46030</v>
      </c>
      <c r="E6" s="113">
        <f>IF(AND(YEAR(JanSun1+17)=Year,MONTH(JanSun1+17)=1),JanSun1+17, "")</f>
        <v>46037</v>
      </c>
      <c r="F6" s="113">
        <f>IF(AND(YEAR(JanSun1+24)=Year,MONTH(JanSun1+24)=1),JanSun1+24, "")</f>
        <v>46044</v>
      </c>
      <c r="G6" s="113">
        <f>IF(AND(YEAR(JanSun1+31)=Year,MONTH(JanSun1+31)=1),JanSun1+31, "")</f>
        <v>46051</v>
      </c>
      <c r="H6" s="113" t="str">
        <f>IF(AND(YEAR(JanSun1+38)=Year,MONTH(JanSun1+38)=1),JanSun1+38, "")</f>
        <v/>
      </c>
      <c r="J6" s="112" t="s">
        <v>9</v>
      </c>
      <c r="K6" s="113"/>
      <c r="L6" s="113">
        <f>IF(AND(YEAR(FebSun1+3)=Year,MONTH(FebSun1+3)=2),FebSun1+3, "")</f>
        <v>46058</v>
      </c>
      <c r="M6" s="113">
        <f>IF(AND(YEAR(FebSun1+10)=Year,MONTH(FebSun1+10)=2),FebSun1+10, "")</f>
        <v>46065</v>
      </c>
      <c r="N6" s="113">
        <f>IF(AND(YEAR(FebSun1+17)=Year,MONTH(FebSun1+17)=2),FebSun1+17, "")</f>
        <v>46072</v>
      </c>
      <c r="O6" s="113">
        <f>IF(AND(YEAR(FebSun1+24)=Year,MONTH(FebSun1+24)=2),FebSun1+24, "")</f>
        <v>46079</v>
      </c>
      <c r="P6" s="113" t="str">
        <f>IF(AND(YEAR(FebSun1+31)=Year,MONTH(FebSun1+31)=2),FebSun1+31, "")</f>
        <v/>
      </c>
      <c r="R6" s="112" t="s">
        <v>9</v>
      </c>
      <c r="S6" s="113"/>
      <c r="T6" s="113">
        <f>IF(AND(YEAR(MarSun1+3)=Year,MONTH(MarSun1+3)=3),MarSun1+3, "")</f>
        <v>46086</v>
      </c>
      <c r="U6" s="113">
        <f>IF(AND(YEAR(MarSun1+10)=Year,MONTH(MarSun1+10)=3),MarSun1+10, "")</f>
        <v>46093</v>
      </c>
      <c r="V6" s="113">
        <f>IF(AND(YEAR(MarSun1+17)=Year,MONTH(MarSun1+17)=3),MarSun1+17, "")</f>
        <v>46100</v>
      </c>
      <c r="W6" s="113">
        <f>IF(AND(YEAR(MarSun1+24)=Year,MONTH(MarSun1+24)=3),MarSun1+24, "")</f>
        <v>46107</v>
      </c>
      <c r="X6" s="113" t="str">
        <f>IF(AND(YEAR(MarSun1+31)=Year,MONTH(MarSun1+31)=3),MarSun1+31, "")</f>
        <v/>
      </c>
      <c r="Z6" s="112" t="s">
        <v>9</v>
      </c>
      <c r="AA6" s="113">
        <f>IF(AND(YEAR(AprSun1+3)=Year,MONTH(AprSun1+3)=4),AprSun1+3, "")</f>
        <v>46114</v>
      </c>
      <c r="AB6" s="113">
        <f>IF(AND(YEAR(AprSun1+10)=Year,MONTH(AprSun1+10)=4),AprSun1+10, "")</f>
        <v>46121</v>
      </c>
      <c r="AC6" s="113">
        <f>IF(AND(YEAR(AprSun1+17)=Year,MONTH(AprSun1+17)=4),AprSun1+17, "")</f>
        <v>46128</v>
      </c>
      <c r="AD6" s="113">
        <f>IF(AND(YEAR(AprSun1+24)=Year,MONTH(AprSun1+24)=4),AprSun1+24, "")</f>
        <v>46135</v>
      </c>
      <c r="AE6" s="113">
        <f>IF(AND(YEAR(AprSun1+31)=Year,MONTH(AprSun1+31)=4),AprSun1+31, "")</f>
        <v>46142</v>
      </c>
      <c r="AF6" s="113" t="str">
        <f>IF(AND(YEAR(AprSun1+38)=Year,MONTH(AprSun1+38)=4),AprSun1+38, "")</f>
        <v/>
      </c>
      <c r="AH6" s="112" t="s">
        <v>9</v>
      </c>
      <c r="AI6" s="145" t="str">
        <f>IF(AND(YEAR(MaySun1+3)=Year,MONTH(MaySun1+3)=5),MaySun1+3, "")</f>
        <v/>
      </c>
      <c r="AJ6" s="145">
        <f>IF(AND(YEAR(MaySun1+10)=Year,MONTH(MaySun1+10)=5),MaySun1+10, "")</f>
        <v>46149</v>
      </c>
      <c r="AK6" s="145">
        <f>IF(AND(YEAR(MaySun1+17)=Year,MONTH(MaySun1+17)=5),MaySun1+17, "")</f>
        <v>46156</v>
      </c>
      <c r="AL6" s="145">
        <f>IF(AND(YEAR(MaySun1+24)=Year,MONTH(MaySun1+24)=5),MaySun1+24, "")</f>
        <v>46163</v>
      </c>
      <c r="AM6" s="145">
        <f>IF(AND(YEAR(MaySun1+31)=Year,MONTH(MaySun1+31)=5),MaySun1+31, "")</f>
        <v>46170</v>
      </c>
      <c r="AN6" s="113" t="str">
        <f>IF(AND(YEAR(MaySun1+38)=Year,MONTH(MaySun1+38)=5),MaySun1+38, "")</f>
        <v/>
      </c>
      <c r="AP6" s="112" t="s">
        <v>9</v>
      </c>
      <c r="AQ6" s="114">
        <f>IF(AND(YEAR(JunSun1+3)=Year,MONTH(JunSun1+3)=6),JunSun1+3, "")</f>
        <v>46177</v>
      </c>
      <c r="AR6" s="113">
        <f>IF(AND(YEAR(JunSun1+10)=Year,MONTH(JunSun1+10)=6),JunSun1+10, "")</f>
        <v>46184</v>
      </c>
      <c r="AS6" s="145">
        <f>IF(AND(YEAR(JunSun1+17)=Year,MONTH(JunSun1+17)=6),JunSun1+17, "")</f>
        <v>46191</v>
      </c>
      <c r="AT6" s="113">
        <f>IF(AND(YEAR(JunSun1+24)=Year,MONTH(JunSun1+24)=6),JunSun1+24, "")</f>
        <v>46198</v>
      </c>
      <c r="AU6" s="113" t="str">
        <f>IF(AND(YEAR(JunSun1+31)=Year,MONTH(JunSun1+31)=6),JunSun1+31, "")</f>
        <v/>
      </c>
      <c r="AV6" s="113" t="str">
        <f>IF(AND(YEAR(JunSun1+38)=Year,MONTH(JunSun1+38)=6),JunSun1+38, "")</f>
        <v/>
      </c>
    </row>
    <row r="7" spans="1:53" x14ac:dyDescent="0.25">
      <c r="B7" s="112" t="s">
        <v>10</v>
      </c>
      <c r="C7" s="113">
        <f>IF(AND(YEAR(JanSun1+4)=Year,MONTH(JanSun1+4)=1),JanSun1+4, "")</f>
        <v>46024</v>
      </c>
      <c r="D7" s="113">
        <f>IF(AND(YEAR(JanSun1+11)=Year,MONTH(JanSun1+11)=1),JanSun1+11, "")</f>
        <v>46031</v>
      </c>
      <c r="E7" s="113">
        <f>IF(AND(YEAR(JanSun1+18)=Year,MONTH(JanSun1+18)=1),JanSun1+18, "")</f>
        <v>46038</v>
      </c>
      <c r="F7" s="113">
        <f>IF(AND(YEAR(JanSun1+25)=Year,MONTH(JanSun1+25)=1),JanSun1+25, "")</f>
        <v>46045</v>
      </c>
      <c r="G7" s="113">
        <f>IF(AND(YEAR(JanSun1+32)=Year,MONTH(JanSun1+32)=1),JanSun1+32, "")</f>
        <v>46052</v>
      </c>
      <c r="H7" s="113" t="str">
        <f>IF(AND(YEAR(JanSun1+39)=Year,MONTH(JanSun1+39)=1),JanSun1+39, "")</f>
        <v/>
      </c>
      <c r="J7" s="112" t="s">
        <v>10</v>
      </c>
      <c r="K7" s="113"/>
      <c r="L7" s="113">
        <f>IF(AND(YEAR(FebSun1+4)=Year,MONTH(FebSun1+4)=2),FebSun1+4, "")</f>
        <v>46059</v>
      </c>
      <c r="M7" s="113">
        <f>IF(AND(YEAR(FebSun1+11)=Year,MONTH(FebSun1+11)=2),FebSun1+11, "")</f>
        <v>46066</v>
      </c>
      <c r="N7" s="113">
        <f>IF(AND(YEAR(FebSun1+18)=Year,MONTH(FebSun1+18)=2),FebSun1+18, "")</f>
        <v>46073</v>
      </c>
      <c r="O7" s="113">
        <f>IF(AND(YEAR(FebSun1+25)=Year,MONTH(FebSun1+25)=2),FebSun1+25, "")</f>
        <v>46080</v>
      </c>
      <c r="P7" s="113" t="str">
        <f>IF(AND(YEAR(FebSun1+32)=Year,MONTH(FebSun1+32)=2),FebSun1+32, "")</f>
        <v/>
      </c>
      <c r="R7" s="112" t="s">
        <v>10</v>
      </c>
      <c r="S7" s="113"/>
      <c r="T7" s="113">
        <f>IF(AND(YEAR(MarSun1+4)=Year,MONTH(MarSun1+4)=3),MarSun1+4, "")</f>
        <v>46087</v>
      </c>
      <c r="U7" s="113">
        <f>IF(AND(YEAR(MarSun1+11)=Year,MONTH(MarSun1+11)=3),MarSun1+11, "")</f>
        <v>46094</v>
      </c>
      <c r="V7" s="113">
        <f>IF(AND(YEAR(MarSun1+18)=Year,MONTH(MarSun1+18)=3),MarSun1+18, "")</f>
        <v>46101</v>
      </c>
      <c r="W7" s="113">
        <f>IF(AND(YEAR(MarSun1+25)=Year,MONTH(MarSun1+25)=3),MarSun1+25, "")</f>
        <v>46108</v>
      </c>
      <c r="X7" s="113" t="str">
        <f>IF(AND(YEAR(MarSun1+32)=Year,MONTH(MarSun1+32)=3),MarSun1+32, "")</f>
        <v/>
      </c>
      <c r="Z7" s="112" t="s">
        <v>10</v>
      </c>
      <c r="AA7" s="113">
        <f>IF(AND(YEAR(AprSun1+4)=Year,MONTH(AprSun1+4)=4),AprSun1+4, "")</f>
        <v>46115</v>
      </c>
      <c r="AB7" s="113">
        <f>IF(AND(YEAR(AprSun1+11)=Year,MONTH(AprSun1+11)=4),AprSun1+11, "")</f>
        <v>46122</v>
      </c>
      <c r="AC7" s="113">
        <f>IF(AND(YEAR(AprSun1+18)=Year,MONTH(AprSun1+18)=4),AprSun1+18, "")</f>
        <v>46129</v>
      </c>
      <c r="AD7" s="113">
        <f>IF(AND(YEAR(AprSun1+25)=Year,MONTH(AprSun1+25)=4),AprSun1+25, "")</f>
        <v>46136</v>
      </c>
      <c r="AE7" s="113" t="str">
        <f>IF(AND(YEAR(AprSun1+32)=Year,MONTH(AprSun1+32)=4),AprSun1+32, "")</f>
        <v/>
      </c>
      <c r="AF7" s="113" t="str">
        <f>IF(AND(YEAR(AprSun1+39)=Year,MONTH(AprSun1+39)=4),AprSun1+39, "")</f>
        <v/>
      </c>
      <c r="AH7" s="112" t="s">
        <v>10</v>
      </c>
      <c r="AI7" s="114">
        <f>IF(AND(YEAR(MaySun1+4)=Year,MONTH(MaySun1+4)=5),MaySun1+4, "")</f>
        <v>46143</v>
      </c>
      <c r="AJ7" s="145">
        <f>IF(AND(YEAR(MaySun1+11)=Year,MONTH(MaySun1+11)=5),MaySun1+11, "")</f>
        <v>46150</v>
      </c>
      <c r="AK7" s="145">
        <f>IF(AND(YEAR(MaySun1+18)=Year,MONTH(MaySun1+18)=5),MaySun1+18, "")</f>
        <v>46157</v>
      </c>
      <c r="AL7" s="145">
        <f>IF(AND(YEAR(MaySun1+25)=Year,MONTH(MaySun1+25)=5),MaySun1+25, "")</f>
        <v>46164</v>
      </c>
      <c r="AM7" s="145">
        <f>IF(AND(YEAR(MaySun1+32)=Year,MONTH(MaySun1+32)=5),MaySun1+32, "")</f>
        <v>46171</v>
      </c>
      <c r="AN7" s="113" t="str">
        <f>IF(AND(YEAR(MaySun1+39)=Year,MONTH(MaySun1+39)=5),MaySun1+39, "")</f>
        <v/>
      </c>
      <c r="AP7" s="112" t="s">
        <v>10</v>
      </c>
      <c r="AQ7" s="113">
        <f>IF(AND(YEAR(JunSun1+4)=Year,MONTH(JunSun1+4)=6),JunSun1+4, "")</f>
        <v>46178</v>
      </c>
      <c r="AR7" s="113">
        <f>IF(AND(YEAR(JunSun1+11)=Year,MONTH(JunSun1+11)=6),JunSun1+11, "")</f>
        <v>46185</v>
      </c>
      <c r="AS7" s="113">
        <f>IF(AND(YEAR(JunSun1+18)=Year,MONTH(JunSun1+18)=6),JunSun1+18, "")</f>
        <v>46192</v>
      </c>
      <c r="AT7" s="113">
        <f>IF(AND(YEAR(JunSun1+25)=Year,MONTH(JunSun1+25)=6),JunSun1+25, "")</f>
        <v>46199</v>
      </c>
      <c r="AU7" s="113" t="str">
        <f>IF(AND(YEAR(JunSun1+32)=Year,MONTH(JunSun1+32)=6),JunSun1+32, "")</f>
        <v/>
      </c>
      <c r="AV7" s="113" t="str">
        <f>IF(AND(YEAR(JunSun1+39)=Year,MONTH(JunSun1+39)=6),JunSun1+39, "")</f>
        <v/>
      </c>
    </row>
    <row r="8" spans="1:53" x14ac:dyDescent="0.25">
      <c r="B8" s="115" t="s">
        <v>11</v>
      </c>
      <c r="C8" s="116">
        <f>IF(AND(YEAR(JanSun1+5)=Year,MONTH(JanSun1+5)=1),JanSun1+5, "")</f>
        <v>46025</v>
      </c>
      <c r="D8" s="116">
        <f>IF(AND(YEAR(JanSun1+12)=Year,MONTH(JanSun1+12)=1),JanSun1+12, "")</f>
        <v>46032</v>
      </c>
      <c r="E8" s="116">
        <f>IF(AND(YEAR(JanSun1+19)=Year,MONTH(JanSun1+19)=1),JanSun1+19, "")</f>
        <v>46039</v>
      </c>
      <c r="F8" s="116">
        <f>IF(AND(YEAR(JanSun1+26)=Year,MONTH(JanSun1+26)=1),JanSun1+26, "")</f>
        <v>46046</v>
      </c>
      <c r="G8" s="116">
        <f>IF(AND(YEAR(JanSun1+33)=Year,MONTH(JanSun1+33)=1),JanSun1+33, "")</f>
        <v>46053</v>
      </c>
      <c r="H8" s="116" t="str">
        <f>IF(AND(YEAR(JanSun1+40)=Year,MONTH(JanSun1+40)=1),JanSun1+40, "")</f>
        <v/>
      </c>
      <c r="J8" s="115" t="s">
        <v>11</v>
      </c>
      <c r="K8" s="116"/>
      <c r="L8" s="116">
        <f>IF(AND(YEAR(FebSun1+5)=Year,MONTH(FebSun1+5)=2),FebSun1+5, "")</f>
        <v>46060</v>
      </c>
      <c r="M8" s="116">
        <f>IF(AND(YEAR(FebSun1+12)=Year,MONTH(FebSun1+12)=2),FebSun1+12, "")</f>
        <v>46067</v>
      </c>
      <c r="N8" s="116">
        <f>IF(AND(YEAR(FebSun1+19)=Year,MONTH(FebSun1+19)=2),FebSun1+19, "")</f>
        <v>46074</v>
      </c>
      <c r="O8" s="116">
        <f>IF(AND(YEAR(FebSun1+26)=Year,MONTH(FebSun1+26)=2),FebSun1+26, "")</f>
        <v>46081</v>
      </c>
      <c r="P8" s="116" t="str">
        <f>IF(AND(YEAR(FebSun1+33)=Year,MONTH(FebSun1+33)=2),FebSun1+33, "")</f>
        <v/>
      </c>
      <c r="R8" s="115" t="s">
        <v>11</v>
      </c>
      <c r="S8" s="116"/>
      <c r="T8" s="116">
        <f>IF(AND(YEAR(MarSun1+5)=Year,MONTH(MarSun1+5)=3),MarSun1+5, "")</f>
        <v>46088</v>
      </c>
      <c r="U8" s="116">
        <f>IF(AND(YEAR(MarSun1+12)=Year,MONTH(MarSun1+12)=3),MarSun1+12, "")</f>
        <v>46095</v>
      </c>
      <c r="V8" s="116">
        <f>IF(AND(YEAR(MarSun1+19)=Year,MONTH(MarSun1+19)=3),MarSun1+19, "")</f>
        <v>46102</v>
      </c>
      <c r="W8" s="116">
        <f>IF(AND(YEAR(MarSun1+26)=Year,MONTH(MarSun1+26)=3),MarSun1+26, "")</f>
        <v>46109</v>
      </c>
      <c r="X8" s="116" t="str">
        <f>IF(AND(YEAR(MarSun1+33)=Year,MONTH(MarSun1+33)=3),MarSun1+33, "")</f>
        <v/>
      </c>
      <c r="Z8" s="112" t="s">
        <v>11</v>
      </c>
      <c r="AA8" s="116">
        <f>IF(AND(YEAR(AprSun1+5)=Year,MONTH(AprSun1+5)=4),AprSun1+5, "")</f>
        <v>46116</v>
      </c>
      <c r="AB8" s="116">
        <f>IF(AND(YEAR(AprSun1+12)=Year,MONTH(AprSun1+12)=4),AprSun1+12, "")</f>
        <v>46123</v>
      </c>
      <c r="AC8" s="116">
        <f>IF(AND(YEAR(AprSun1+19)=Year,MONTH(AprSun1+19)=4),AprSun1+19, "")</f>
        <v>46130</v>
      </c>
      <c r="AD8" s="116">
        <f>IF(AND(YEAR(AprSun1+26)=Year,MONTH(AprSun1+26)=4),AprSun1+26, "")</f>
        <v>46137</v>
      </c>
      <c r="AE8" s="116" t="str">
        <f>IF(AND(YEAR(AprSun1+33)=Year,MONTH(AprSun1+33)=4),AprSun1+33, "")</f>
        <v/>
      </c>
      <c r="AF8" s="116" t="str">
        <f>IF(AND(YEAR(AprSun1+40)=Year,MONTH(AprSun1+40)=4),AprSun1+40, "")</f>
        <v/>
      </c>
      <c r="AH8" s="112" t="s">
        <v>11</v>
      </c>
      <c r="AI8" s="116">
        <f>IF(AND(YEAR(MaySun1+5)=Year,MONTH(MaySun1+5)=5),MaySun1+5, "")</f>
        <v>46144</v>
      </c>
      <c r="AJ8" s="116">
        <f>IF(AND(YEAR(MaySun1+12)=Year,MONTH(MaySun1+12)=5),MaySun1+12, "")</f>
        <v>46151</v>
      </c>
      <c r="AK8" s="116">
        <f>IF(AND(YEAR(MaySun1+19)=Year,MONTH(MaySun1+19)=5),MaySun1+19, "")</f>
        <v>46158</v>
      </c>
      <c r="AL8" s="116">
        <f>IF(AND(YEAR(MaySun1+26)=Year,MONTH(MaySun1+26)=5),MaySun1+26, "")</f>
        <v>46165</v>
      </c>
      <c r="AM8" s="114">
        <f>IF(AND(YEAR(MaySun1+33)=Year,MONTH(MaySun1+33)=5),MaySun1+33, "")</f>
        <v>46172</v>
      </c>
      <c r="AN8" s="116" t="str">
        <f>IF(AND(YEAR(MaySun1+40)=Year,MONTH(MaySun1+40)=5),MaySun1+40, "")</f>
        <v/>
      </c>
      <c r="AP8" s="112" t="s">
        <v>11</v>
      </c>
      <c r="AQ8" s="116">
        <f>IF(AND(YEAR(JunSun1+5)=Year,MONTH(JunSun1+5)=6),JunSun1+5, "")</f>
        <v>46179</v>
      </c>
      <c r="AR8" s="116">
        <f>IF(AND(YEAR(JunSun1+12)=Year,MONTH(JunSun1+12)=6),JunSun1+12, "")</f>
        <v>46186</v>
      </c>
      <c r="AS8" s="116">
        <f>IF(AND(YEAR(JunSun1+19)=Year,MONTH(JunSun1+19)=6),JunSun1+19, "")</f>
        <v>46193</v>
      </c>
      <c r="AT8" s="116">
        <f>IF(AND(YEAR(JunSun1+26)=Year,MONTH(JunSun1+26)=6),JunSun1+26, "")</f>
        <v>46200</v>
      </c>
      <c r="AU8" s="116" t="str">
        <f>IF(AND(YEAR(JunSun1+33)=Year,MONTH(JunSun1+33)=6),JunSun1+33, "")</f>
        <v/>
      </c>
      <c r="AV8" s="116" t="str">
        <f>IF(AND(YEAR(JunSun1+40)=Year,MONTH(JunSun1+40)=6),JunSun1+40, "")</f>
        <v/>
      </c>
    </row>
    <row r="9" spans="1:53" x14ac:dyDescent="0.25">
      <c r="B9" s="115" t="s">
        <v>12</v>
      </c>
      <c r="C9" s="116">
        <f>IF(AND(YEAR(JanSun1+6)=Year,MONTH(JanSun1+6)=1),JanSun1+6, "")</f>
        <v>46026</v>
      </c>
      <c r="D9" s="116">
        <f>IF(AND(YEAR(JanSun1+13)=Year,MONTH(JanSun1+13)=1),JanSun1+13, "")</f>
        <v>46033</v>
      </c>
      <c r="E9" s="116">
        <f>IF(AND(YEAR(JanSun1+20)=Year,MONTH(JanSun1+20)=1),JanSun1+20, "")</f>
        <v>46040</v>
      </c>
      <c r="F9" s="116">
        <f>IF(AND(YEAR(JanSun1+27)=Year,MONTH(JanSun1+27)=1),JanSun1+27, "")</f>
        <v>46047</v>
      </c>
      <c r="G9" s="116" t="str">
        <f>IF(AND(YEAR(JanSun1+34)=Year,MONTH(JanSun1+34)=1),JanSun1+34, "")</f>
        <v/>
      </c>
      <c r="H9" s="116" t="str">
        <f>IF(AND(YEAR(JanSun1+41)=Year,MONTH(JanSun1+41)=1),JanSun1+41, "")</f>
        <v/>
      </c>
      <c r="J9" s="115" t="s">
        <v>12</v>
      </c>
      <c r="K9" s="116">
        <v>1</v>
      </c>
      <c r="L9" s="116">
        <f>IF(AND(YEAR(FebSun1+6)=Year,MONTH(FebSun1+6)=2),FebSun1+6, "")</f>
        <v>46061</v>
      </c>
      <c r="M9" s="116">
        <f>IF(AND(YEAR(FebSun1+13)=Year,MONTH(FebSun1+13)=2),FebSun1+13, "")</f>
        <v>46068</v>
      </c>
      <c r="N9" s="116">
        <f>IF(AND(YEAR(FebSun1+20)=Year,MONTH(FebSun1+20)=2),FebSun1+20, "")</f>
        <v>46075</v>
      </c>
      <c r="O9" s="116" t="str">
        <f>IF(AND(YEAR(FebSun1+27)=Year,MONTH(FebSun1+27)=2),FebSun1+27, "")</f>
        <v/>
      </c>
      <c r="P9" s="116" t="str">
        <f>IF(AND(YEAR(FebSun1+34)=Year,MONTH(FebSun1+34)=2),FebSun1+34, "")</f>
        <v/>
      </c>
      <c r="R9" s="115" t="s">
        <v>12</v>
      </c>
      <c r="S9" s="116">
        <v>1</v>
      </c>
      <c r="T9" s="116">
        <f>IF(AND(YEAR(MarSun1+6)=Year,MONTH(MarSun1+6)=3),MarSun1+6, "")</f>
        <v>46089</v>
      </c>
      <c r="U9" s="116">
        <f>IF(AND(YEAR(MarSun1+13)=Year,MONTH(MarSun1+13)=3),MarSun1+13, "")</f>
        <v>46096</v>
      </c>
      <c r="V9" s="116">
        <f>IF(AND(YEAR(MarSun1+20)=Year,MONTH(MarSun1+20)=3),MarSun1+20, "")</f>
        <v>46103</v>
      </c>
      <c r="W9" s="116">
        <f>IF(AND(YEAR(MarSun1+27)=Year,MONTH(MarSun1+27)=3),MarSun1+27, "")</f>
        <v>46110</v>
      </c>
      <c r="X9" s="116" t="str">
        <f>IF(AND(YEAR(MarSun1+34)=Year,MONTH(MarSun1+34)=3),MarSun1+34, "")</f>
        <v/>
      </c>
      <c r="Z9" s="112" t="s">
        <v>12</v>
      </c>
      <c r="AA9" s="114">
        <f>IF(AND(YEAR(AprSun1+6)=Year,MONTH(AprSun1+6)=4),AprSun1+6, "")</f>
        <v>46117</v>
      </c>
      <c r="AB9" s="116">
        <f>IF(AND(YEAR(AprSun1+13)=Year,MONTH(AprSun1+13)=4),AprSun1+13, "")</f>
        <v>46124</v>
      </c>
      <c r="AC9" s="146">
        <f>IF(AND(YEAR(AprSun1+20)=Year,MONTH(AprSun1+20)=4),AprSun1+20, "")</f>
        <v>46131</v>
      </c>
      <c r="AD9" s="116">
        <f>IF(AND(YEAR(AprSun1+27)=Year,MONTH(AprSun1+27)=4),AprSun1+27, "")</f>
        <v>46138</v>
      </c>
      <c r="AE9" s="116" t="str">
        <f>IF(AND(YEAR(AprSun1+34)=Year,MONTH(AprSun1+34)=4),AprSun1+34, "")</f>
        <v/>
      </c>
      <c r="AF9" s="116" t="str">
        <f>IF(AND(YEAR(AprSun1+41)=Year,MONTH(AprSun1+41)=4),AprSun1+41, "")</f>
        <v/>
      </c>
      <c r="AH9" s="112" t="s">
        <v>12</v>
      </c>
      <c r="AI9" s="116">
        <f>IF(AND(YEAR(MaySun1+6)=Year,MONTH(MaySun1+6)=5),MaySun1+6, "")</f>
        <v>46145</v>
      </c>
      <c r="AJ9" s="116">
        <f>IF(AND(YEAR(MaySun1+13)=Year,MONTH(MaySun1+13)=5),MaySun1+13, "")</f>
        <v>46152</v>
      </c>
      <c r="AK9" s="116">
        <f>IF(AND(YEAR(MaySun1+20)=Year,MONTH(MaySun1+20)=5),MaySun1+20, "")</f>
        <v>46159</v>
      </c>
      <c r="AL9" s="116">
        <f>IF(AND(YEAR(MaySun1+27)=Year,MONTH(MaySun1+27)=5),MaySun1+27, "")</f>
        <v>46166</v>
      </c>
      <c r="AM9" s="116">
        <f>IF(AND(YEAR(MaySun1+34)=Year,MONTH(MaySun1+34)=5),MaySun1+34, "")</f>
        <v>46173</v>
      </c>
      <c r="AN9" s="116" t="str">
        <f>IF(AND(YEAR(MaySun1+41)=Year,MONTH(MaySun1+41)=5),MaySun1+41, "")</f>
        <v/>
      </c>
      <c r="AP9" s="112" t="s">
        <v>12</v>
      </c>
      <c r="AQ9" s="116">
        <f>IF(AND(YEAR(JunSun1+6)=Year,MONTH(JunSun1+6)=6),JunSun1+6, "")</f>
        <v>46180</v>
      </c>
      <c r="AR9" s="116">
        <f>IF(AND(YEAR(JunSun1+13)=Year,MONTH(JunSun1+13)=6),JunSun1+13, "")</f>
        <v>46187</v>
      </c>
      <c r="AS9" s="146">
        <f>IF(AND(YEAR(JunSun1+20)=Year,MONTH(JunSun1+20)=6),JunSun1+20, "")</f>
        <v>46194</v>
      </c>
      <c r="AT9" s="116">
        <f>IF(AND(YEAR(JunSun1+27)=Year,MONTH(JunSun1+27)=6),JunSun1+27, "")</f>
        <v>46201</v>
      </c>
      <c r="AU9" s="116" t="str">
        <f>IF(AND(YEAR(JunSun1+34)=Year,MONTH(JunSun1+34)=6),JunSun1+34, "")</f>
        <v/>
      </c>
      <c r="AV9" s="116" t="str">
        <f>IF(AND(YEAR(JunSun1+41)=Year,MONTH(JunSun1+41)=6),JunSun1+41, "")</f>
        <v/>
      </c>
    </row>
    <row r="10" spans="1:53" s="117" customFormat="1" x14ac:dyDescent="0.25">
      <c r="C10" s="118">
        <f t="shared" ref="C10:AV10" si="0">COUNT(C3:C7)</f>
        <v>2</v>
      </c>
      <c r="D10" s="118">
        <f t="shared" si="0"/>
        <v>5</v>
      </c>
      <c r="E10" s="118">
        <f t="shared" si="0"/>
        <v>5</v>
      </c>
      <c r="F10" s="118">
        <f t="shared" si="0"/>
        <v>5</v>
      </c>
      <c r="G10" s="118">
        <f t="shared" si="0"/>
        <v>5</v>
      </c>
      <c r="H10" s="118">
        <f t="shared" si="0"/>
        <v>0</v>
      </c>
      <c r="I10" s="118"/>
      <c r="J10" s="118"/>
      <c r="K10" s="118">
        <f t="shared" si="0"/>
        <v>0</v>
      </c>
      <c r="L10" s="118">
        <f t="shared" si="0"/>
        <v>5</v>
      </c>
      <c r="M10" s="118">
        <f t="shared" si="0"/>
        <v>5</v>
      </c>
      <c r="N10" s="118">
        <f t="shared" si="0"/>
        <v>5</v>
      </c>
      <c r="O10" s="118">
        <f t="shared" si="0"/>
        <v>5</v>
      </c>
      <c r="P10" s="118">
        <f t="shared" si="0"/>
        <v>0</v>
      </c>
      <c r="Q10" s="118"/>
      <c r="R10" s="118"/>
      <c r="S10" s="118">
        <f t="shared" si="0"/>
        <v>0</v>
      </c>
      <c r="T10" s="118">
        <f t="shared" si="0"/>
        <v>5</v>
      </c>
      <c r="U10" s="118">
        <f t="shared" si="0"/>
        <v>5</v>
      </c>
      <c r="V10" s="118">
        <f t="shared" si="0"/>
        <v>5</v>
      </c>
      <c r="W10" s="118">
        <f t="shared" si="0"/>
        <v>5</v>
      </c>
      <c r="X10" s="118">
        <f t="shared" si="0"/>
        <v>2</v>
      </c>
      <c r="Y10" s="118"/>
      <c r="Z10" s="118"/>
      <c r="AA10" s="118">
        <f t="shared" si="0"/>
        <v>3</v>
      </c>
      <c r="AB10" s="118">
        <f t="shared" si="0"/>
        <v>5</v>
      </c>
      <c r="AC10" s="118">
        <f t="shared" si="0"/>
        <v>5</v>
      </c>
      <c r="AD10" s="118">
        <f t="shared" si="0"/>
        <v>5</v>
      </c>
      <c r="AE10" s="118">
        <f t="shared" si="0"/>
        <v>4</v>
      </c>
      <c r="AF10" s="118">
        <f t="shared" si="0"/>
        <v>0</v>
      </c>
      <c r="AG10" s="118"/>
      <c r="AH10" s="118"/>
      <c r="AI10" s="118">
        <f t="shared" si="0"/>
        <v>1</v>
      </c>
      <c r="AJ10" s="118">
        <f t="shared" si="0"/>
        <v>5</v>
      </c>
      <c r="AK10" s="118">
        <f t="shared" si="0"/>
        <v>5</v>
      </c>
      <c r="AL10" s="118">
        <f t="shared" si="0"/>
        <v>5</v>
      </c>
      <c r="AM10" s="118">
        <f t="shared" si="0"/>
        <v>5</v>
      </c>
      <c r="AN10" s="118">
        <f t="shared" si="0"/>
        <v>0</v>
      </c>
      <c r="AO10" s="118"/>
      <c r="AP10" s="118"/>
      <c r="AQ10" s="118">
        <f t="shared" si="0"/>
        <v>5</v>
      </c>
      <c r="AR10" s="118">
        <f t="shared" si="0"/>
        <v>5</v>
      </c>
      <c r="AS10" s="118">
        <f t="shared" si="0"/>
        <v>5</v>
      </c>
      <c r="AT10" s="118">
        <f t="shared" si="0"/>
        <v>5</v>
      </c>
      <c r="AU10" s="118">
        <f t="shared" si="0"/>
        <v>2</v>
      </c>
      <c r="AV10" s="118">
        <f t="shared" si="0"/>
        <v>0</v>
      </c>
    </row>
    <row r="11" spans="1:53" s="117" customFormat="1" x14ac:dyDescent="0.25">
      <c r="C11" s="118">
        <v>1</v>
      </c>
      <c r="D11" s="118">
        <v>4</v>
      </c>
      <c r="E11" s="118">
        <f t="shared" ref="E11:H11" si="1">E10</f>
        <v>5</v>
      </c>
      <c r="F11" s="118">
        <f t="shared" si="1"/>
        <v>5</v>
      </c>
      <c r="G11" s="118">
        <f t="shared" si="1"/>
        <v>5</v>
      </c>
      <c r="H11" s="118">
        <f t="shared" si="1"/>
        <v>0</v>
      </c>
      <c r="I11" s="118"/>
      <c r="J11" s="118"/>
      <c r="K11" s="118">
        <f>K10</f>
        <v>0</v>
      </c>
      <c r="L11" s="118">
        <f t="shared" ref="L11:P11" si="2">L10</f>
        <v>5</v>
      </c>
      <c r="M11" s="118">
        <f t="shared" si="2"/>
        <v>5</v>
      </c>
      <c r="N11" s="118">
        <f t="shared" si="2"/>
        <v>5</v>
      </c>
      <c r="O11" s="118">
        <f t="shared" si="2"/>
        <v>5</v>
      </c>
      <c r="P11" s="118">
        <f t="shared" si="2"/>
        <v>0</v>
      </c>
      <c r="Q11" s="118"/>
      <c r="R11" s="118"/>
      <c r="S11" s="118">
        <f>S10</f>
        <v>0</v>
      </c>
      <c r="T11" s="118">
        <f t="shared" ref="T11:X11" si="3">T10</f>
        <v>5</v>
      </c>
      <c r="U11" s="118">
        <f t="shared" si="3"/>
        <v>5</v>
      </c>
      <c r="V11" s="118">
        <f t="shared" si="3"/>
        <v>5</v>
      </c>
      <c r="W11" s="118">
        <f t="shared" si="3"/>
        <v>5</v>
      </c>
      <c r="X11" s="118">
        <f t="shared" si="3"/>
        <v>2</v>
      </c>
      <c r="Y11" s="118"/>
      <c r="Z11" s="118"/>
      <c r="AA11" s="118">
        <f>AA10</f>
        <v>3</v>
      </c>
      <c r="AB11" s="118">
        <v>4</v>
      </c>
      <c r="AC11" s="118">
        <f t="shared" ref="AC11:AD11" si="4">AC10</f>
        <v>5</v>
      </c>
      <c r="AD11" s="118">
        <f t="shared" si="4"/>
        <v>5</v>
      </c>
      <c r="AE11" s="118">
        <f t="shared" ref="AE11:AF11" si="5">AE10</f>
        <v>4</v>
      </c>
      <c r="AF11" s="118">
        <f t="shared" si="5"/>
        <v>0</v>
      </c>
      <c r="AG11" s="118"/>
      <c r="AH11" s="118"/>
      <c r="AI11" s="118">
        <v>0</v>
      </c>
      <c r="AJ11" s="118">
        <f t="shared" ref="AJ11:AL11" si="6">AJ10</f>
        <v>5</v>
      </c>
      <c r="AK11" s="118">
        <f t="shared" si="6"/>
        <v>5</v>
      </c>
      <c r="AL11" s="118">
        <f t="shared" si="6"/>
        <v>5</v>
      </c>
      <c r="AM11" s="118">
        <v>5</v>
      </c>
      <c r="AN11" s="118">
        <f t="shared" ref="AN11" si="7">AN10</f>
        <v>0</v>
      </c>
      <c r="AO11" s="118"/>
      <c r="AP11" s="118"/>
      <c r="AQ11" s="118">
        <v>4</v>
      </c>
      <c r="AR11" s="118">
        <f t="shared" ref="AR11" si="8">AR10</f>
        <v>5</v>
      </c>
      <c r="AS11" s="118">
        <v>5</v>
      </c>
      <c r="AT11" s="118">
        <v>4</v>
      </c>
      <c r="AU11" s="118">
        <f t="shared" ref="AU11:AV11" si="9">AU10</f>
        <v>2</v>
      </c>
      <c r="AV11" s="118">
        <f t="shared" si="9"/>
        <v>0</v>
      </c>
    </row>
    <row r="12" spans="1:53" s="117" customFormat="1" x14ac:dyDescent="0.25">
      <c r="A12" s="157" t="s">
        <v>158</v>
      </c>
      <c r="B12" s="157"/>
      <c r="C12" s="119">
        <f>C11*8</f>
        <v>8</v>
      </c>
      <c r="D12" s="119">
        <f t="shared" ref="D12:AV12" si="10">D11*8</f>
        <v>32</v>
      </c>
      <c r="E12" s="119">
        <f t="shared" si="10"/>
        <v>40</v>
      </c>
      <c r="F12" s="119">
        <f t="shared" si="10"/>
        <v>40</v>
      </c>
      <c r="G12" s="119">
        <f t="shared" si="10"/>
        <v>40</v>
      </c>
      <c r="H12" s="117">
        <f t="shared" si="10"/>
        <v>0</v>
      </c>
      <c r="K12" s="117">
        <f t="shared" si="10"/>
        <v>0</v>
      </c>
      <c r="L12" s="119">
        <f t="shared" si="10"/>
        <v>40</v>
      </c>
      <c r="M12" s="119">
        <f t="shared" si="10"/>
        <v>40</v>
      </c>
      <c r="N12" s="119">
        <f t="shared" si="10"/>
        <v>40</v>
      </c>
      <c r="O12" s="119">
        <f t="shared" si="10"/>
        <v>40</v>
      </c>
      <c r="P12" s="117">
        <f t="shared" si="10"/>
        <v>0</v>
      </c>
      <c r="S12" s="117">
        <f t="shared" si="10"/>
        <v>0</v>
      </c>
      <c r="T12" s="119">
        <f t="shared" si="10"/>
        <v>40</v>
      </c>
      <c r="U12" s="119">
        <f t="shared" si="10"/>
        <v>40</v>
      </c>
      <c r="V12" s="119">
        <f t="shared" si="10"/>
        <v>40</v>
      </c>
      <c r="W12" s="119">
        <f t="shared" si="10"/>
        <v>40</v>
      </c>
      <c r="X12" s="119">
        <f t="shared" si="10"/>
        <v>16</v>
      </c>
      <c r="AA12" s="119">
        <f t="shared" si="10"/>
        <v>24</v>
      </c>
      <c r="AB12" s="119">
        <f t="shared" si="10"/>
        <v>32</v>
      </c>
      <c r="AC12" s="119">
        <f t="shared" si="10"/>
        <v>40</v>
      </c>
      <c r="AD12" s="119">
        <f t="shared" si="10"/>
        <v>40</v>
      </c>
      <c r="AE12" s="119">
        <f t="shared" si="10"/>
        <v>32</v>
      </c>
      <c r="AF12" s="117">
        <f t="shared" si="10"/>
        <v>0</v>
      </c>
      <c r="AI12" s="119">
        <f t="shared" si="10"/>
        <v>0</v>
      </c>
      <c r="AJ12" s="119">
        <f t="shared" si="10"/>
        <v>40</v>
      </c>
      <c r="AK12" s="119">
        <f t="shared" si="10"/>
        <v>40</v>
      </c>
      <c r="AL12" s="119">
        <f t="shared" si="10"/>
        <v>40</v>
      </c>
      <c r="AM12" s="119">
        <f t="shared" si="10"/>
        <v>40</v>
      </c>
      <c r="AN12" s="117">
        <f t="shared" si="10"/>
        <v>0</v>
      </c>
      <c r="AQ12" s="119">
        <f t="shared" si="10"/>
        <v>32</v>
      </c>
      <c r="AR12" s="119">
        <f t="shared" si="10"/>
        <v>40</v>
      </c>
      <c r="AS12" s="119">
        <f t="shared" si="10"/>
        <v>40</v>
      </c>
      <c r="AT12" s="119">
        <f t="shared" si="10"/>
        <v>32</v>
      </c>
      <c r="AU12" s="119">
        <f t="shared" si="10"/>
        <v>16</v>
      </c>
      <c r="AV12" s="117">
        <f t="shared" si="10"/>
        <v>0</v>
      </c>
    </row>
    <row r="13" spans="1:53" x14ac:dyDescent="0.25">
      <c r="A13" s="158" t="s">
        <v>212</v>
      </c>
      <c r="B13" s="158"/>
      <c r="C13" s="120">
        <f>(C10-C11)*8</f>
        <v>8</v>
      </c>
      <c r="D13" s="120">
        <f t="shared" ref="D13:AV13" si="11">(D10-D11)*8</f>
        <v>8</v>
      </c>
      <c r="E13">
        <f t="shared" si="11"/>
        <v>0</v>
      </c>
      <c r="F13">
        <f t="shared" si="11"/>
        <v>0</v>
      </c>
      <c r="G13">
        <f t="shared" si="11"/>
        <v>0</v>
      </c>
      <c r="H13">
        <f t="shared" si="11"/>
        <v>0</v>
      </c>
      <c r="K13">
        <f t="shared" si="11"/>
        <v>0</v>
      </c>
      <c r="L13">
        <f t="shared" si="11"/>
        <v>0</v>
      </c>
      <c r="M13">
        <f t="shared" si="11"/>
        <v>0</v>
      </c>
      <c r="N13">
        <f t="shared" si="11"/>
        <v>0</v>
      </c>
      <c r="O13">
        <f t="shared" si="11"/>
        <v>0</v>
      </c>
      <c r="P13">
        <f t="shared" si="11"/>
        <v>0</v>
      </c>
      <c r="S13">
        <f t="shared" si="11"/>
        <v>0</v>
      </c>
      <c r="T13">
        <f t="shared" si="11"/>
        <v>0</v>
      </c>
      <c r="U13">
        <f t="shared" si="11"/>
        <v>0</v>
      </c>
      <c r="V13">
        <f t="shared" si="11"/>
        <v>0</v>
      </c>
      <c r="W13">
        <f t="shared" si="11"/>
        <v>0</v>
      </c>
      <c r="X13">
        <f t="shared" si="11"/>
        <v>0</v>
      </c>
      <c r="AA13">
        <f t="shared" si="11"/>
        <v>0</v>
      </c>
      <c r="AB13">
        <f t="shared" si="11"/>
        <v>8</v>
      </c>
      <c r="AC13">
        <f t="shared" si="11"/>
        <v>0</v>
      </c>
      <c r="AD13" s="120">
        <f t="shared" si="11"/>
        <v>0</v>
      </c>
      <c r="AE13">
        <f t="shared" si="11"/>
        <v>0</v>
      </c>
      <c r="AF13">
        <f t="shared" si="11"/>
        <v>0</v>
      </c>
      <c r="AI13" s="120">
        <f t="shared" si="11"/>
        <v>8</v>
      </c>
      <c r="AJ13">
        <f t="shared" si="11"/>
        <v>0</v>
      </c>
      <c r="AK13">
        <f t="shared" si="11"/>
        <v>0</v>
      </c>
      <c r="AL13">
        <f t="shared" si="11"/>
        <v>0</v>
      </c>
      <c r="AM13" s="120">
        <f t="shared" si="11"/>
        <v>0</v>
      </c>
      <c r="AN13">
        <f t="shared" si="11"/>
        <v>0</v>
      </c>
      <c r="AQ13">
        <f t="shared" si="11"/>
        <v>8</v>
      </c>
      <c r="AR13">
        <f t="shared" si="11"/>
        <v>0</v>
      </c>
      <c r="AS13" s="120">
        <f t="shared" si="11"/>
        <v>0</v>
      </c>
      <c r="AT13">
        <f t="shared" si="11"/>
        <v>8</v>
      </c>
      <c r="AU13">
        <f t="shared" si="11"/>
        <v>0</v>
      </c>
      <c r="AV13">
        <f t="shared" si="11"/>
        <v>0</v>
      </c>
    </row>
    <row r="14" spans="1:53" ht="15.75" thickBot="1" x14ac:dyDescent="0.3"/>
    <row r="15" spans="1:53" x14ac:dyDescent="0.25">
      <c r="B15" s="155" t="s">
        <v>213</v>
      </c>
      <c r="C15" s="156"/>
      <c r="D15" s="156"/>
      <c r="E15" s="156"/>
      <c r="F15" s="156"/>
      <c r="G15" s="153">
        <f>SUM(C12:H12)</f>
        <v>160</v>
      </c>
      <c r="H15" s="154"/>
      <c r="J15" s="155" t="s">
        <v>213</v>
      </c>
      <c r="K15" s="156"/>
      <c r="L15" s="156"/>
      <c r="M15" s="156"/>
      <c r="N15" s="156"/>
      <c r="O15" s="153">
        <f>SUM(K12:P12)</f>
        <v>160</v>
      </c>
      <c r="P15" s="154"/>
      <c r="R15" s="155" t="s">
        <v>213</v>
      </c>
      <c r="S15" s="156"/>
      <c r="T15" s="156"/>
      <c r="U15" s="156"/>
      <c r="V15" s="156"/>
      <c r="W15" s="153">
        <f>SUM(S12:X12)</f>
        <v>176</v>
      </c>
      <c r="X15" s="154"/>
      <c r="Z15" s="155" t="s">
        <v>213</v>
      </c>
      <c r="AA15" s="156"/>
      <c r="AB15" s="156"/>
      <c r="AC15" s="156"/>
      <c r="AD15" s="156"/>
      <c r="AE15" s="153">
        <f>SUM(AA12:AF12)</f>
        <v>168</v>
      </c>
      <c r="AF15" s="154"/>
      <c r="AH15" s="155" t="s">
        <v>213</v>
      </c>
      <c r="AI15" s="156"/>
      <c r="AJ15" s="156"/>
      <c r="AK15" s="156"/>
      <c r="AL15" s="156"/>
      <c r="AM15" s="153">
        <f>SUM(AI12:AN12)</f>
        <v>160</v>
      </c>
      <c r="AN15" s="154"/>
      <c r="AP15" s="155" t="s">
        <v>213</v>
      </c>
      <c r="AQ15" s="156"/>
      <c r="AR15" s="156"/>
      <c r="AS15" s="156"/>
      <c r="AT15" s="156"/>
      <c r="AU15" s="153">
        <f>SUM(AQ12:AV12)</f>
        <v>160</v>
      </c>
      <c r="AV15" s="154"/>
    </row>
    <row r="16" spans="1:53" x14ac:dyDescent="0.25">
      <c r="B16" s="161" t="s">
        <v>215</v>
      </c>
      <c r="C16" s="159"/>
      <c r="D16" s="159"/>
      <c r="E16" s="159"/>
      <c r="F16" s="159"/>
      <c r="G16" s="159">
        <f>SUM(C13:H13)</f>
        <v>16</v>
      </c>
      <c r="H16" s="160"/>
      <c r="J16" s="161" t="s">
        <v>215</v>
      </c>
      <c r="K16" s="159"/>
      <c r="L16" s="159"/>
      <c r="M16" s="159"/>
      <c r="N16" s="159"/>
      <c r="O16" s="159">
        <f>SUM(K13:P13)</f>
        <v>0</v>
      </c>
      <c r="P16" s="160"/>
      <c r="R16" s="161" t="s">
        <v>215</v>
      </c>
      <c r="S16" s="159"/>
      <c r="T16" s="159"/>
      <c r="U16" s="159"/>
      <c r="V16" s="159"/>
      <c r="W16" s="159">
        <f>SUM(S13:X13)</f>
        <v>0</v>
      </c>
      <c r="X16" s="160"/>
      <c r="Z16" s="161" t="s">
        <v>215</v>
      </c>
      <c r="AA16" s="159"/>
      <c r="AB16" s="159"/>
      <c r="AC16" s="159"/>
      <c r="AD16" s="159"/>
      <c r="AE16" s="159">
        <f>SUM(AA13:AF13)</f>
        <v>8</v>
      </c>
      <c r="AF16" s="160"/>
      <c r="AH16" s="161" t="s">
        <v>215</v>
      </c>
      <c r="AI16" s="159"/>
      <c r="AJ16" s="159"/>
      <c r="AK16" s="159"/>
      <c r="AL16" s="159"/>
      <c r="AM16" s="159">
        <f>SUM(AI13:AN13)</f>
        <v>8</v>
      </c>
      <c r="AN16" s="160"/>
      <c r="AP16" s="161" t="s">
        <v>215</v>
      </c>
      <c r="AQ16" s="159"/>
      <c r="AR16" s="159"/>
      <c r="AS16" s="159"/>
      <c r="AT16" s="159"/>
      <c r="AU16" s="159">
        <f>SUM(AQ13:AV13)</f>
        <v>16</v>
      </c>
      <c r="AV16" s="160"/>
    </row>
    <row r="17" spans="1:48" ht="15.75" thickBot="1" x14ac:dyDescent="0.3">
      <c r="B17" s="162" t="s">
        <v>214</v>
      </c>
      <c r="C17" s="163"/>
      <c r="D17" s="163"/>
      <c r="E17" s="163"/>
      <c r="F17" s="163"/>
      <c r="G17" s="164">
        <f>SUM(G15:H16)</f>
        <v>176</v>
      </c>
      <c r="H17" s="165"/>
      <c r="J17" s="162" t="s">
        <v>214</v>
      </c>
      <c r="K17" s="163"/>
      <c r="L17" s="163"/>
      <c r="M17" s="163"/>
      <c r="N17" s="163"/>
      <c r="O17" s="164">
        <f>SUM(O15:P16)</f>
        <v>160</v>
      </c>
      <c r="P17" s="165"/>
      <c r="R17" s="162" t="s">
        <v>214</v>
      </c>
      <c r="S17" s="163"/>
      <c r="T17" s="163"/>
      <c r="U17" s="163"/>
      <c r="V17" s="163"/>
      <c r="W17" s="164">
        <f>SUM(W15:X16)</f>
        <v>176</v>
      </c>
      <c r="X17" s="165"/>
      <c r="Z17" s="162" t="s">
        <v>214</v>
      </c>
      <c r="AA17" s="163"/>
      <c r="AB17" s="163"/>
      <c r="AC17" s="163"/>
      <c r="AD17" s="163"/>
      <c r="AE17" s="164">
        <f>SUM(AE15:AF16)</f>
        <v>176</v>
      </c>
      <c r="AF17" s="165"/>
      <c r="AH17" s="162" t="s">
        <v>214</v>
      </c>
      <c r="AI17" s="163"/>
      <c r="AJ17" s="163"/>
      <c r="AK17" s="163"/>
      <c r="AL17" s="163"/>
      <c r="AM17" s="164">
        <f>SUM(AM15:AN16)</f>
        <v>168</v>
      </c>
      <c r="AN17" s="165"/>
      <c r="AP17" s="162" t="s">
        <v>214</v>
      </c>
      <c r="AQ17" s="163"/>
      <c r="AR17" s="163"/>
      <c r="AS17" s="163"/>
      <c r="AT17" s="163"/>
      <c r="AU17" s="164">
        <f>SUM(AU15:AV16)</f>
        <v>176</v>
      </c>
      <c r="AV17" s="165"/>
    </row>
    <row r="18" spans="1:48" x14ac:dyDescent="0.25"/>
    <row r="19" spans="1:48" x14ac:dyDescent="0.25"/>
    <row r="20" spans="1:48" x14ac:dyDescent="0.25"/>
    <row r="21" spans="1:48" ht="18" customHeight="1" thickBot="1" x14ac:dyDescent="0.3">
      <c r="B21" s="152" t="s">
        <v>13</v>
      </c>
      <c r="C21" s="152"/>
      <c r="D21" s="152"/>
      <c r="E21" s="152"/>
      <c r="F21" s="152"/>
      <c r="G21" s="152"/>
      <c r="H21" s="152"/>
      <c r="J21" s="152" t="s">
        <v>14</v>
      </c>
      <c r="K21" s="152"/>
      <c r="L21" s="152"/>
      <c r="M21" s="152"/>
      <c r="N21" s="152"/>
      <c r="O21" s="152"/>
      <c r="P21" s="152"/>
      <c r="R21" s="152" t="s">
        <v>15</v>
      </c>
      <c r="S21" s="152"/>
      <c r="T21" s="152"/>
      <c r="U21" s="152"/>
      <c r="V21" s="152"/>
      <c r="W21" s="152"/>
      <c r="X21" s="152"/>
      <c r="Z21" s="152" t="s">
        <v>16</v>
      </c>
      <c r="AA21" s="152"/>
      <c r="AB21" s="152"/>
      <c r="AC21" s="152"/>
      <c r="AD21" s="152"/>
      <c r="AE21" s="152"/>
      <c r="AF21" s="152"/>
      <c r="AH21" s="152" t="s">
        <v>17</v>
      </c>
      <c r="AI21" s="152"/>
      <c r="AJ21" s="152"/>
      <c r="AK21" s="152"/>
      <c r="AL21" s="152"/>
      <c r="AM21" s="152"/>
      <c r="AN21" s="152"/>
      <c r="AP21" s="152" t="s">
        <v>18</v>
      </c>
      <c r="AQ21" s="152"/>
      <c r="AR21" s="152"/>
      <c r="AS21" s="152"/>
      <c r="AT21" s="152"/>
      <c r="AU21" s="152"/>
      <c r="AV21" s="152"/>
    </row>
    <row r="22" spans="1:48" ht="15.75" thickTop="1" x14ac:dyDescent="0.25">
      <c r="B22" s="112" t="s">
        <v>6</v>
      </c>
      <c r="C22" s="113" t="str">
        <f>IF(AND(YEAR(JulSun1)=Year,MONTH(JulSun1)=7),JulSun1, "")</f>
        <v/>
      </c>
      <c r="D22" s="113">
        <f>IF(AND(YEAR(JulSun1+7)=Year,MONTH(JulSun1+7)=7),JulSun1+7, "")</f>
        <v>46209</v>
      </c>
      <c r="E22" s="113">
        <f>IF(AND(YEAR(JulSun1+14)=Year,MONTH(JulSun1+14)=7),JulSun1+14, "")</f>
        <v>46216</v>
      </c>
      <c r="F22" s="113">
        <f>IF(AND(YEAR(JulSun1+21)=Year,MONTH(JulSun1+21)=7),JulSun1+21, "")</f>
        <v>46223</v>
      </c>
      <c r="G22" s="113">
        <f>IF(AND(YEAR(JulSun1+28)=Year,MONTH(JulSun1+28)=7),JulSun1+28, "")</f>
        <v>46230</v>
      </c>
      <c r="H22" s="113" t="str">
        <f>IF(AND(YEAR(JulSun1+35)=Year,MONTH(JulSun1+35)=7),JulSun1+35, "")</f>
        <v/>
      </c>
      <c r="J22" s="112" t="s">
        <v>6</v>
      </c>
      <c r="K22" s="113" t="str">
        <f>IF(AND(YEAR(AugSun1)=Year,MONTH(AugSun1)=8),AugSun1, "")</f>
        <v/>
      </c>
      <c r="L22" s="113">
        <f>IF(AND(YEAR(AugSun1+14)=Year,MONTH(AugSun1+14)=8),AugSun1+14, "")</f>
        <v>46237</v>
      </c>
      <c r="M22" s="113">
        <f>IF(AND(YEAR(AugSun1+21)=Year,MONTH(AugSun1+21)=8),AugSun1+21, "")</f>
        <v>46244</v>
      </c>
      <c r="N22" s="113">
        <f>IF(AND(YEAR(AugSun1+28)=Year,MONTH(AugSun1+28)=8),AugSun1+28, "")</f>
        <v>46251</v>
      </c>
      <c r="O22" s="113">
        <f>IF(AND(YEAR(AugSun1+35)=Year,MONTH(AugSun1+35)=8),AugSun1+35, "")</f>
        <v>46258</v>
      </c>
      <c r="P22" s="145">
        <f>IF(AND(YEAR(AugSun1+42)=Year,MONTH(AugSun1+42)=8),AugSun1+42, "")</f>
        <v>46265</v>
      </c>
      <c r="R22" s="112" t="s">
        <v>6</v>
      </c>
      <c r="S22" s="113" t="str">
        <f>IF(AND(YEAR(SepSun1)=Year,MONTH(SepSun1)=9),SepSun1, "")</f>
        <v/>
      </c>
      <c r="T22" s="113">
        <f>IF(AND(YEAR(SepSun1+7)=Year,MONTH(SepSun1+7)=9),SepSun1+7, "")</f>
        <v>46272</v>
      </c>
      <c r="U22" s="113">
        <f>IF(AND(YEAR(SepSun1+14)=Year,MONTH(SepSun1+14)=9),SepSun1+14, "")</f>
        <v>46279</v>
      </c>
      <c r="V22" s="113">
        <f>IF(AND(YEAR(SepSun1+21)=Year,MONTH(SepSun1+21)=9),SepSun1+21, "")</f>
        <v>46286</v>
      </c>
      <c r="W22" s="113">
        <f>IF(AND(YEAR(SepSun1+28)=Year,MONTH(SepSun1+28)=9),SepSun1+28, "")</f>
        <v>46293</v>
      </c>
      <c r="X22" s="113" t="str">
        <f>IF(AND(YEAR(SepSun1+35)=Year,MONTH(SepSun1+35)=9),SepSun1+35, "")</f>
        <v/>
      </c>
      <c r="Z22" s="112" t="s">
        <v>6</v>
      </c>
      <c r="AA22" s="113" t="str">
        <f>IF(AND(YEAR(OctSun1)=Year,MONTH(OctSun1)=10),OctSun1, "")</f>
        <v/>
      </c>
      <c r="AB22" s="113">
        <f>IF(AND(YEAR(OctSun1+7)=Year,MONTH(OctSun1+7)=10),OctSun1+7, "")</f>
        <v>46300</v>
      </c>
      <c r="AC22" s="113">
        <f>IF(AND(YEAR(OctSun1+14)=Year,MONTH(OctSun1+14)=10),OctSun1+14, "")</f>
        <v>46307</v>
      </c>
      <c r="AD22" s="113">
        <f>IF(AND(YEAR(OctSun1+21)=Year,MONTH(OctSun1+21)=10),OctSun1+21, "")</f>
        <v>46314</v>
      </c>
      <c r="AE22" s="113">
        <f>IF(AND(YEAR(OctSun1+28)=Year,MONTH(OctSun1+28)=10),OctSun1+28, "")</f>
        <v>46321</v>
      </c>
      <c r="AF22" s="113" t="str">
        <f>IF(AND(YEAR(OctSun1+35)=Year,MONTH(OctSun1+35)=10),OctSun1+35, "")</f>
        <v/>
      </c>
      <c r="AH22" s="112" t="s">
        <v>6</v>
      </c>
      <c r="AI22" s="113"/>
      <c r="AJ22" s="113">
        <f>IF(AND(YEAR(NovSun1)=Year,MONTH(NovSun1)=11),NovSun1, "")</f>
        <v>46328</v>
      </c>
      <c r="AK22" s="113">
        <f>IF(AND(YEAR(NovSun1+7)=Year,MONTH(NovSun1+7)=11),NovSun1+7, "")</f>
        <v>46335</v>
      </c>
      <c r="AL22" s="113">
        <f>IF(AND(YEAR(NovSun1+14)=Year,MONTH(NovSun1+14)=11),NovSun1+14, "")</f>
        <v>46342</v>
      </c>
      <c r="AM22" s="113">
        <f>IF(AND(YEAR(NovSun1+21)=Year,MONTH(NovSun1+21)=11),NovSun1+21, "")</f>
        <v>46349</v>
      </c>
      <c r="AN22" s="113">
        <f>IF(AND(YEAR(NovSun1+28)=Year,MONTH(NovSun1+28)=11),NovSun1+28, "")</f>
        <v>46356</v>
      </c>
      <c r="AP22" s="112" t="s">
        <v>6</v>
      </c>
      <c r="AQ22" s="145" t="str">
        <f>IF(AND(YEAR(DecSun1)=Year,MONTH(DecSun1)=12),DecSun1, "")</f>
        <v/>
      </c>
      <c r="AR22" s="145">
        <f>IF(AND(YEAR(DecSun1+7)=Year,MONTH(DecSun1+7)=12),DecSun1+7, "")</f>
        <v>46363</v>
      </c>
      <c r="AS22" s="145">
        <f>IF(AND(YEAR(DecSun1+14)=Year,MONTH(DecSun1+14)=12),DecSun1+14, "")</f>
        <v>46370</v>
      </c>
      <c r="AT22" s="145">
        <f>IF(AND(YEAR(DecSun1+21)=Year,MONTH(DecSun1+21)=12),DecSun1+21, "")</f>
        <v>46377</v>
      </c>
      <c r="AU22" s="145">
        <f>IF(AND(YEAR(DecSun1+28)=Year,MONTH(DecSun1+28)=12),DecSun1+28, "")</f>
        <v>46384</v>
      </c>
      <c r="AV22" s="145" t="str">
        <f>IF(AND(YEAR(DecSun1+35)=Year,MONTH(DecSun1+35)=12),DecSun1+35, "")</f>
        <v/>
      </c>
    </row>
    <row r="23" spans="1:48" x14ac:dyDescent="0.25">
      <c r="B23" s="112" t="s">
        <v>7</v>
      </c>
      <c r="C23" s="113" t="str">
        <f>IF(AND(YEAR(JulSun1+1)=Year,MONTH(JulSun1+1)=7),JulSun1+1, "")</f>
        <v/>
      </c>
      <c r="D23" s="113">
        <f>IF(AND(YEAR(JulSun1+8)=Year,MONTH(JulSun1+8)=7),JulSun1+8, "")</f>
        <v>46210</v>
      </c>
      <c r="E23" s="113">
        <f>IF(AND(YEAR(JulSun1+15)=Year,MONTH(JulSun1+15)=7),JulSun1+15, "")</f>
        <v>46217</v>
      </c>
      <c r="F23" s="113">
        <f>IF(AND(YEAR(JulSun1+22)=Year,MONTH(JulSun1+22)=7),JulSun1+22, "")</f>
        <v>46224</v>
      </c>
      <c r="G23" s="113">
        <f>IF(AND(YEAR(JulSun1+29)=Year,MONTH(JulSun1+29)=7),JulSun1+29, "")</f>
        <v>46231</v>
      </c>
      <c r="H23" s="113" t="str">
        <f>IF(AND(YEAR(JulSun1+36)=Year,MONTH(JulSun1+36)=7),JulSun1+36, "")</f>
        <v/>
      </c>
      <c r="J23" s="112" t="s">
        <v>7</v>
      </c>
      <c r="K23" s="113" t="str">
        <f>IF(AND(YEAR(AugSun1+1)=Year,MONTH(AugSun1+1)=8),AugSun1+1, "")</f>
        <v/>
      </c>
      <c r="L23" s="145">
        <f>IF(AND(YEAR(AugSun1+15)=Year,MONTH(AugSun1+15)=8),AugSun1+15, "")</f>
        <v>46238</v>
      </c>
      <c r="M23" s="145">
        <f>IF(AND(YEAR(AugSun1+22)=Year,MONTH(AugSun1+22)=8),AugSun1+22, "")</f>
        <v>46245</v>
      </c>
      <c r="N23" s="113">
        <f>IF(AND(YEAR(AugSun1+29)=Year,MONTH(AugSun1+29)=8),AugSun1+29, "")</f>
        <v>46252</v>
      </c>
      <c r="O23" s="113">
        <f>IF(AND(YEAR(AugSun1+36)=Year,MONTH(AugSun1+36)=8),AugSun1+36, "")</f>
        <v>46259</v>
      </c>
      <c r="P23" s="145" t="str">
        <f>IF(AND(YEAR(AugSun1+43)=Year,MONTH(AugSun1+43)=8),AugSun1+43, "")</f>
        <v/>
      </c>
      <c r="R23" s="112" t="s">
        <v>7</v>
      </c>
      <c r="S23" s="113">
        <f>IF(AND(YEAR(SepSun1+1)=Year,MONTH(SepSun1+1)=9),SepSun1+1, "")</f>
        <v>46266</v>
      </c>
      <c r="T23" s="113">
        <f>IF(AND(YEAR(SepSun1+8)=Year,MONTH(SepSun1+8)=9),SepSun1+8, "")</f>
        <v>46273</v>
      </c>
      <c r="U23" s="113">
        <f>IF(AND(YEAR(SepSun1+15)=Year,MONTH(SepSun1+15)=9),SepSun1+15, "")</f>
        <v>46280</v>
      </c>
      <c r="V23" s="113">
        <f>IF(AND(YEAR(SepSun1+22)=Year,MONTH(SepSun1+22)=9),SepSun1+22, "")</f>
        <v>46287</v>
      </c>
      <c r="W23" s="113">
        <f>IF(AND(YEAR(SepSun1+29)=Year,MONTH(SepSun1+29)=9),SepSun1+29, "")</f>
        <v>46294</v>
      </c>
      <c r="X23" s="113" t="str">
        <f>IF(AND(YEAR(SepSun1+36)=Year,MONTH(SepSun1+36)=9),SepSun1+36, "")</f>
        <v/>
      </c>
      <c r="Z23" s="112" t="s">
        <v>7</v>
      </c>
      <c r="AA23" s="113" t="str">
        <f>IF(AND(YEAR(OctSun1+1)=Year,MONTH(OctSun1+1)=10),OctSun1+1, "")</f>
        <v/>
      </c>
      <c r="AB23" s="113">
        <f>IF(AND(YEAR(OctSun1+8)=Year,MONTH(OctSun1+8)=10),OctSun1+8, "")</f>
        <v>46301</v>
      </c>
      <c r="AC23" s="113">
        <f>IF(AND(YEAR(OctSun1+15)=Year,MONTH(OctSun1+15)=10),OctSun1+15, "")</f>
        <v>46308</v>
      </c>
      <c r="AD23" s="113">
        <f>IF(AND(YEAR(OctSun1+22)=Year,MONTH(OctSun1+22)=10),OctSun1+22, "")</f>
        <v>46315</v>
      </c>
      <c r="AE23" s="113">
        <f>IF(AND(YEAR(OctSun1+29)=Year,MONTH(OctSun1+29)=10),OctSun1+29, "")</f>
        <v>46322</v>
      </c>
      <c r="AF23" s="113" t="str">
        <f>IF(AND(YEAR(OctSun1+36)=Year,MONTH(OctSun1+36)=10),OctSun1+36, "")</f>
        <v/>
      </c>
      <c r="AH23" s="112" t="s">
        <v>7</v>
      </c>
      <c r="AI23" s="113"/>
      <c r="AJ23" s="113">
        <f>IF(AND(YEAR(NovSun1+1)=Year,MONTH(NovSun1+1)=11),NovSun1+1, "")</f>
        <v>46329</v>
      </c>
      <c r="AK23" s="113">
        <f>IF(AND(YEAR(NovSun1+8)=Year,MONTH(NovSun1+8)=11),NovSun1+8, "")</f>
        <v>46336</v>
      </c>
      <c r="AL23" s="113">
        <f>IF(AND(YEAR(NovSun1+15)=Year,MONTH(NovSun1+15)=11),NovSun1+15, "")</f>
        <v>46343</v>
      </c>
      <c r="AM23" s="145">
        <f>IF(AND(YEAR(NovSun1+22)=Year,MONTH(NovSun1+22)=11),NovSun1+22, "")</f>
        <v>46350</v>
      </c>
      <c r="AN23" s="113" t="str">
        <f>IF(AND(YEAR(NovSun1+29)=Year,MONTH(NovSun1+29)=11),NovSun1+29, "")</f>
        <v/>
      </c>
      <c r="AP23" s="112" t="s">
        <v>7</v>
      </c>
      <c r="AQ23" s="145">
        <f>IF(AND(YEAR(DecSun1+1)=Year,MONTH(DecSun1+1)=12),DecSun1+1, "")</f>
        <v>46357</v>
      </c>
      <c r="AR23" s="145">
        <f>IF(AND(YEAR(DecSun1+8)=Year,MONTH(DecSun1+8)=12),DecSun1+8, "")</f>
        <v>46364</v>
      </c>
      <c r="AS23" s="145">
        <f>IF(AND(YEAR(DecSun1+15)=Year,MONTH(DecSun1+15)=12),DecSun1+15, "")</f>
        <v>46371</v>
      </c>
      <c r="AT23" s="145">
        <f>IF(AND(YEAR(DecSun1+22)=Year,MONTH(DecSun1+22)=12),DecSun1+22, "")</f>
        <v>46378</v>
      </c>
      <c r="AU23" s="145">
        <f>IF(AND(YEAR(DecSun1+29)=Year,MONTH(DecSun1+29)=12),DecSun1+29, "")</f>
        <v>46385</v>
      </c>
      <c r="AV23" s="145" t="str">
        <f>IF(AND(YEAR(DecSun1+36)=Year,MONTH(DecSun1+36)=12),DecSun1+36, "")</f>
        <v/>
      </c>
    </row>
    <row r="24" spans="1:48" x14ac:dyDescent="0.25">
      <c r="B24" s="112" t="s">
        <v>8</v>
      </c>
      <c r="C24" s="113">
        <f>IF(AND(YEAR(JulSun1+2)=Year,MONTH(JulSun1+2)=7),JulSun1+2, "")</f>
        <v>46204</v>
      </c>
      <c r="D24" s="113">
        <f>IF(AND(YEAR(JulSun1+9)=Year,MONTH(JulSun1+9)=7),JulSun1+9, "")</f>
        <v>46211</v>
      </c>
      <c r="E24" s="113">
        <f>IF(AND(YEAR(JulSun1+16)=Year,MONTH(JulSun1+16)=7),JulSun1+16, "")</f>
        <v>46218</v>
      </c>
      <c r="F24" s="113">
        <f>IF(AND(YEAR(JulSun1+23)=Year,MONTH(JulSun1+23)=7),JulSun1+23, "")</f>
        <v>46225</v>
      </c>
      <c r="G24" s="113">
        <f>IF(AND(YEAR(JulSun1+30)=Year,MONTH(JulSun1+30)=7),JulSun1+30, "")</f>
        <v>46232</v>
      </c>
      <c r="H24" s="113" t="str">
        <f>IF(AND(YEAR(JulSun1+37)=Year,MONTH(JulSun1+37)=7),JulSun1+37, "")</f>
        <v/>
      </c>
      <c r="J24" s="112" t="s">
        <v>8</v>
      </c>
      <c r="K24" s="113" t="str">
        <f>IF(AND(YEAR(AugSun1+2)=Year,MONTH(AugSun1+2)=8),AugSun1+2, "")</f>
        <v/>
      </c>
      <c r="L24" s="114">
        <f>IF(AND(YEAR(AugSun1+16)=Year,MONTH(AugSun1+16)=8),AugSun1+16, "")</f>
        <v>46239</v>
      </c>
      <c r="M24" s="145">
        <f>IF(AND(YEAR(AugSun1+23)=Year,MONTH(AugSun1+23)=8),AugSun1+23, "")</f>
        <v>46246</v>
      </c>
      <c r="N24" s="113">
        <f>IF(AND(YEAR(AugSun1+30)=Year,MONTH(AugSun1+30)=8),AugSun1+30, "")</f>
        <v>46253</v>
      </c>
      <c r="O24" s="113">
        <f>IF(AND(YEAR(AugSun1+37)=Year,MONTH(AugSun1+37)=8),AugSun1+37, "")</f>
        <v>46260</v>
      </c>
      <c r="P24" s="145" t="str">
        <f>IF(AND(YEAR(AugSun1+44)=Year,MONTH(AugSun1+44)=8),AugSun1+44, "")</f>
        <v/>
      </c>
      <c r="R24" s="112" t="s">
        <v>8</v>
      </c>
      <c r="S24" s="113">
        <f>IF(AND(YEAR(SepSun1+2)=Year,MONTH(SepSun1+2)=9),SepSun1+2, "")</f>
        <v>46267</v>
      </c>
      <c r="T24" s="113">
        <f>IF(AND(YEAR(SepSun1+9)=Year,MONTH(SepSun1+9)=9),SepSun1+9, "")</f>
        <v>46274</v>
      </c>
      <c r="U24" s="113">
        <f>IF(AND(YEAR(SepSun1+16)=Year,MONTH(SepSun1+16)=9),SepSun1+16, "")</f>
        <v>46281</v>
      </c>
      <c r="V24" s="113">
        <f>IF(AND(YEAR(SepSun1+23)=Year,MONTH(SepSun1+23)=9),SepSun1+23, "")</f>
        <v>46288</v>
      </c>
      <c r="W24" s="113">
        <f>IF(AND(YEAR(SepSun1+30)=Year,MONTH(SepSun1+30)=9),SepSun1+30, "")</f>
        <v>46295</v>
      </c>
      <c r="X24" s="113" t="str">
        <f>IF(AND(YEAR(SepSun1+37)=Year,MONTH(SepSun1+37)=9),SepSun1+37, "")</f>
        <v/>
      </c>
      <c r="Z24" s="112" t="s">
        <v>8</v>
      </c>
      <c r="AA24" s="113" t="str">
        <f>IF(AND(YEAR(OctSun1+2)=Year,MONTH(OctSun1+2)=10),OctSun1+2, "")</f>
        <v/>
      </c>
      <c r="AB24" s="113">
        <f>IF(AND(YEAR(OctSun1+9)=Year,MONTH(OctSun1+9)=10),OctSun1+9, "")</f>
        <v>46302</v>
      </c>
      <c r="AC24" s="113">
        <f>IF(AND(YEAR(OctSun1+16)=Year,MONTH(OctSun1+16)=10),OctSun1+16, "")</f>
        <v>46309</v>
      </c>
      <c r="AD24" s="113">
        <f>IF(AND(YEAR(OctSun1+23)=Year,MONTH(OctSun1+23)=10),OctSun1+23, "")</f>
        <v>46316</v>
      </c>
      <c r="AE24" s="113">
        <f>IF(AND(YEAR(OctSun1+30)=Year,MONTH(OctSun1+30)=10),OctSun1+30, "")</f>
        <v>46323</v>
      </c>
      <c r="AF24" s="113" t="str">
        <f>IF(AND(YEAR(OctSun1+37)=Year,MONTH(OctSun1+37)=10),OctSun1+37, "")</f>
        <v/>
      </c>
      <c r="AH24" s="112" t="s">
        <v>8</v>
      </c>
      <c r="AI24" s="113"/>
      <c r="AJ24" s="113">
        <f>IF(AND(YEAR(NovSun1+2)=Year,MONTH(NovSun1+2)=11),NovSun1+2, "")</f>
        <v>46330</v>
      </c>
      <c r="AK24" s="113">
        <f>IF(AND(YEAR(NovSun1+9)=Year,MONTH(NovSun1+9)=11),NovSun1+9, "")</f>
        <v>46337</v>
      </c>
      <c r="AL24" s="114">
        <f>IF(AND(YEAR(NovSun1+16)=Year,MONTH(NovSun1+16)=11),NovSun1+16, "")</f>
        <v>46344</v>
      </c>
      <c r="AM24" s="113">
        <f>IF(AND(YEAR(NovSun1+23)=Year,MONTH(NovSun1+23)=11),NovSun1+23, "")</f>
        <v>46351</v>
      </c>
      <c r="AN24" s="113" t="str">
        <f>IF(AND(YEAR(NovSun1+30)=Year,MONTH(NovSun1+30)=11),NovSun1+30, "")</f>
        <v/>
      </c>
      <c r="AP24" s="112" t="s">
        <v>8</v>
      </c>
      <c r="AQ24" s="145">
        <f>IF(AND(YEAR(DecSun1+2)=Year,MONTH(DecSun1+2)=12),DecSun1+2, "")</f>
        <v>46358</v>
      </c>
      <c r="AR24" s="145">
        <f>IF(AND(YEAR(DecSun1+9)=Year,MONTH(DecSun1+9)=12),DecSun1+9, "")</f>
        <v>46365</v>
      </c>
      <c r="AS24" s="145">
        <f>IF(AND(YEAR(DecSun1+16)=Year,MONTH(DecSun1+16)=12),DecSun1+16, "")</f>
        <v>46372</v>
      </c>
      <c r="AT24" s="145">
        <f>IF(AND(YEAR(DecSun1+23)=Year,MONTH(DecSun1+23)=12),DecSun1+23, "")</f>
        <v>46379</v>
      </c>
      <c r="AU24" s="145">
        <f>IF(AND(YEAR(DecSun1+30)=Year,MONTH(DecSun1+30)=12),DecSun1+30, "")</f>
        <v>46386</v>
      </c>
      <c r="AV24" s="145" t="str">
        <f>IF(AND(YEAR(DecSun1+37)=Year,MONTH(DecSun1+37)=12),DecSun1+37, "")</f>
        <v/>
      </c>
    </row>
    <row r="25" spans="1:48" x14ac:dyDescent="0.25">
      <c r="B25" s="112" t="s">
        <v>9</v>
      </c>
      <c r="C25" s="113">
        <f>IF(AND(YEAR(JulSun1+3)=Year,MONTH(JulSun1+3)=7),JulSun1+3, "")</f>
        <v>46205</v>
      </c>
      <c r="D25" s="113">
        <f>IF(AND(YEAR(JulSun1+10)=Year,MONTH(JulSun1+10)=7),JulSun1+10, "")</f>
        <v>46212</v>
      </c>
      <c r="E25" s="113">
        <f>IF(AND(YEAR(JulSun1+17)=Year,MONTH(JulSun1+17)=7),JulSun1+17, "")</f>
        <v>46219</v>
      </c>
      <c r="F25" s="113">
        <f>IF(AND(YEAR(JulSun1+24)=Year,MONTH(JulSun1+24)=7),JulSun1+24, "")</f>
        <v>46226</v>
      </c>
      <c r="G25" s="113">
        <f>IF(AND(YEAR(JulSun1+31)=Year,MONTH(JulSun1+31)=7),JulSun1+31, "")</f>
        <v>46233</v>
      </c>
      <c r="H25" s="113" t="str">
        <f>IF(AND(YEAR(JulSun1+38)=Year,MONTH(JulSun1+38)=7),JulSun1+38, "")</f>
        <v/>
      </c>
      <c r="J25" s="112" t="s">
        <v>9</v>
      </c>
      <c r="K25" s="113" t="str">
        <f>IF(AND(YEAR(AugSun1+3)=Year,MONTH(AugSun1+3)=8),AugSun1+3, "")</f>
        <v/>
      </c>
      <c r="L25" s="145">
        <f>IF(AND(YEAR(AugSun1+17)=Year,MONTH(AugSun1+17)=8),AugSun1+17, "")</f>
        <v>46240</v>
      </c>
      <c r="M25" s="145">
        <f>IF(AND(YEAR(AugSun1+24)=Year,MONTH(AugSun1+24)=8),AugSun1+24, "")</f>
        <v>46247</v>
      </c>
      <c r="N25" s="113">
        <f>IF(AND(YEAR(AugSun1+31)=Year,MONTH(AugSun1+31)=8),AugSun1+31, "")</f>
        <v>46254</v>
      </c>
      <c r="O25" s="113">
        <f>IF(AND(YEAR(AugSun1+38)=Year,MONTH(AugSun1+38)=8),AugSun1+38, "")</f>
        <v>46261</v>
      </c>
      <c r="P25" s="145" t="str">
        <f>IF(AND(YEAR(AugSun1+45)=Year,MONTH(AugSun1+45)=8),AugSun1+45, "")</f>
        <v/>
      </c>
      <c r="R25" s="112" t="s">
        <v>9</v>
      </c>
      <c r="S25" s="113">
        <f>IF(AND(YEAR(SepSun1+3)=Year,MONTH(SepSun1+3)=9),SepSun1+3, "")</f>
        <v>46268</v>
      </c>
      <c r="T25" s="113">
        <f>IF(AND(YEAR(SepSun1+10)=Year,MONTH(SepSun1+10)=9),SepSun1+10, "")</f>
        <v>46275</v>
      </c>
      <c r="U25" s="113">
        <f>IF(AND(YEAR(SepSun1+17)=Year,MONTH(SepSun1+17)=9),SepSun1+17, "")</f>
        <v>46282</v>
      </c>
      <c r="V25" s="113">
        <f>IF(AND(YEAR(SepSun1+24)=Year,MONTH(SepSun1+24)=9),SepSun1+24, "")</f>
        <v>46289</v>
      </c>
      <c r="W25" s="113" t="str">
        <f>IF(AND(YEAR(SepSun1+31)=Year,MONTH(SepSun1+31)=9),SepSun1+31, "")</f>
        <v/>
      </c>
      <c r="X25" s="113" t="str">
        <f>IF(AND(YEAR(SepSun1+38)=Year,MONTH(SepSun1+38)=9),SepSun1+38, "")</f>
        <v/>
      </c>
      <c r="Z25" s="112" t="s">
        <v>9</v>
      </c>
      <c r="AA25" s="113">
        <f>IF(AND(YEAR(OctSun1+3)=Year,MONTH(OctSun1+3)=10),OctSun1+3, "")</f>
        <v>46296</v>
      </c>
      <c r="AB25" s="113">
        <f>IF(AND(YEAR(OctSun1+10)=Year,MONTH(OctSun1+10)=10),OctSun1+10, "")</f>
        <v>46303</v>
      </c>
      <c r="AC25" s="113">
        <f>IF(AND(YEAR(OctSun1+17)=Year,MONTH(OctSun1+17)=10),OctSun1+17, "")</f>
        <v>46310</v>
      </c>
      <c r="AD25" s="113">
        <f>IF(AND(YEAR(OctSun1+24)=Year,MONTH(OctSun1+24)=10),OctSun1+24, "")</f>
        <v>46317</v>
      </c>
      <c r="AE25" s="113">
        <f>IF(AND(YEAR(OctSun1+31)=Year,MONTH(OctSun1+31)=10),OctSun1+31, "")</f>
        <v>46324</v>
      </c>
      <c r="AF25" s="113" t="str">
        <f>IF(AND(YEAR(OctSun1+38)=Year,MONTH(OctSun1+38)=10),OctSun1+38, "")</f>
        <v/>
      </c>
      <c r="AH25" s="112" t="s">
        <v>9</v>
      </c>
      <c r="AI25" s="113"/>
      <c r="AJ25" s="113">
        <f>IF(AND(YEAR(NovSun1+3)=Year,MONTH(NovSun1+3)=11),NovSun1+3, "")</f>
        <v>46331</v>
      </c>
      <c r="AK25" s="113">
        <f>IF(AND(YEAR(NovSun1+10)=Year,MONTH(NovSun1+10)=11),NovSun1+10, "")</f>
        <v>46338</v>
      </c>
      <c r="AL25" s="113">
        <f>IF(AND(YEAR(NovSun1+17)=Year,MONTH(NovSun1+17)=11),NovSun1+17, "")</f>
        <v>46345</v>
      </c>
      <c r="AM25" s="113">
        <f>IF(AND(YEAR(NovSun1+24)=Year,MONTH(NovSun1+24)=11),NovSun1+24, "")</f>
        <v>46352</v>
      </c>
      <c r="AN25" s="113" t="str">
        <f>IF(AND(YEAR(NovSun1+31)=Year,MONTH(NovSun1+31)=11),NovSun1+31, "")</f>
        <v/>
      </c>
      <c r="AP25" s="112" t="s">
        <v>9</v>
      </c>
      <c r="AQ25" s="145">
        <f>IF(AND(YEAR(DecSun1+3)=Year,MONTH(DecSun1+3)=12),DecSun1+3, "")</f>
        <v>46359</v>
      </c>
      <c r="AR25" s="145">
        <f>IF(AND(YEAR(DecSun1+10)=Year,MONTH(DecSun1+10)=12),DecSun1+10, "")</f>
        <v>46366</v>
      </c>
      <c r="AS25" s="145">
        <f>IF(AND(YEAR(DecSun1+17)=Year,MONTH(DecSun1+17)=12),DecSun1+17, "")</f>
        <v>46373</v>
      </c>
      <c r="AT25" s="145">
        <f>IF(AND(YEAR(DecSun1+24)=Year,MONTH(DecSun1+24)=12),DecSun1+24, "")</f>
        <v>46380</v>
      </c>
      <c r="AU25" s="145">
        <f>IF(AND(YEAR(DecSun1+31)=Year,MONTH(DecSun1+31)=12),DecSun1+31, "")</f>
        <v>46387</v>
      </c>
      <c r="AV25" s="145" t="str">
        <f>IF(AND(YEAR(DecSun1+38)=Year,MONTH(DecSun1+38)=12),DecSun1+38, "")</f>
        <v/>
      </c>
    </row>
    <row r="26" spans="1:48" x14ac:dyDescent="0.25">
      <c r="B26" s="112" t="s">
        <v>10</v>
      </c>
      <c r="C26" s="113">
        <f>IF(AND(YEAR(JulSun1+4)=Year,MONTH(JulSun1+4)=7),JulSun1+4, "")</f>
        <v>46206</v>
      </c>
      <c r="D26" s="113">
        <f>IF(AND(YEAR(JulSun1+11)=Year,MONTH(JulSun1+11)=7),JulSun1+11, "")</f>
        <v>46213</v>
      </c>
      <c r="E26" s="113">
        <f>IF(AND(YEAR(JulSun1+18)=Year,MONTH(JulSun1+18)=7),JulSun1+18, "")</f>
        <v>46220</v>
      </c>
      <c r="F26" s="113">
        <f>IF(AND(YEAR(JulSun1+25)=Year,MONTH(JulSun1+25)=7),JulSun1+25, "")</f>
        <v>46227</v>
      </c>
      <c r="G26" s="113">
        <f>IF(AND(YEAR(JulSun1+32)=Year,MONTH(JulSun1+32)=7),JulSun1+32, "")</f>
        <v>46234</v>
      </c>
      <c r="H26" s="113" t="str">
        <f>IF(AND(YEAR(JulSun1+39)=Year,MONTH(JulSun1+39)=7),JulSun1+39, "")</f>
        <v/>
      </c>
      <c r="J26" s="112" t="s">
        <v>10</v>
      </c>
      <c r="K26" s="113" t="str">
        <f>IF(AND(YEAR(AugSun1+4)=Year,MONTH(AugSun1+4)=8),AugSun1+4, "")</f>
        <v/>
      </c>
      <c r="L26" s="145">
        <f>IF(AND(YEAR(AugSun1+18)=Year,MONTH(AugSun1+18)=8),AugSun1+18, "")</f>
        <v>46241</v>
      </c>
      <c r="M26" s="145">
        <f>IF(AND(YEAR(AugSun1+25)=Year,MONTH(AugSun1+25)=8),AugSun1+25, "")</f>
        <v>46248</v>
      </c>
      <c r="N26" s="113">
        <f>IF(AND(YEAR(AugSun1+32)=Year,MONTH(AugSun1+32)=8),AugSun1+32, "")</f>
        <v>46255</v>
      </c>
      <c r="O26" s="113">
        <f>IF(AND(YEAR(AugSun1+39)=Year,MONTH(AugSun1+39)=8),AugSun1+39, "")</f>
        <v>46262</v>
      </c>
      <c r="P26" s="145" t="str">
        <f>IF(AND(YEAR(AugSun1+46)=Year,MONTH(AugSun1+46)=8),AugSun1+46, "")</f>
        <v/>
      </c>
      <c r="R26" s="112" t="s">
        <v>10</v>
      </c>
      <c r="S26" s="113">
        <f>IF(AND(YEAR(SepSun1+4)=Year,MONTH(SepSun1+4)=9),SepSun1+4, "")</f>
        <v>46269</v>
      </c>
      <c r="T26" s="113">
        <f>IF(AND(YEAR(SepSun1+11)=Year,MONTH(SepSun1+11)=9),SepSun1+11, "")</f>
        <v>46276</v>
      </c>
      <c r="U26" s="113">
        <f>IF(AND(YEAR(SepSun1+18)=Year,MONTH(SepSun1+18)=9),SepSun1+18, "")</f>
        <v>46283</v>
      </c>
      <c r="V26" s="113">
        <f>IF(AND(YEAR(SepSun1+25)=Year,MONTH(SepSun1+25)=9),SepSun1+25, "")</f>
        <v>46290</v>
      </c>
      <c r="W26" s="113" t="str">
        <f>IF(AND(YEAR(SepSun1+32)=Year,MONTH(SepSun1+32)=9),SepSun1+32, "")</f>
        <v/>
      </c>
      <c r="X26" s="113" t="str">
        <f>IF(AND(YEAR(SepSun1+39)=Year,MONTH(SepSun1+39)=9),SepSun1+39, "")</f>
        <v/>
      </c>
      <c r="Z26" s="112" t="s">
        <v>10</v>
      </c>
      <c r="AA26" s="113">
        <f>IF(AND(YEAR(OctSun1+4)=Year,MONTH(OctSun1+4)=10),OctSun1+4, "")</f>
        <v>46297</v>
      </c>
      <c r="AB26" s="113">
        <f>IF(AND(YEAR(OctSun1+11)=Year,MONTH(OctSun1+11)=10),OctSun1+11, "")</f>
        <v>46304</v>
      </c>
      <c r="AC26" s="113">
        <f>IF(AND(YEAR(OctSun1+18)=Year,MONTH(OctSun1+18)=10),OctSun1+18, "")</f>
        <v>46311</v>
      </c>
      <c r="AD26" s="113">
        <f>IF(AND(YEAR(OctSun1+25)=Year,MONTH(OctSun1+25)=10),OctSun1+25, "")</f>
        <v>46318</v>
      </c>
      <c r="AE26" s="113">
        <f>IF(AND(YEAR(OctSun1+32)=Year,MONTH(OctSun1+32)=10),OctSun1+32, "")</f>
        <v>46325</v>
      </c>
      <c r="AF26" s="113" t="str">
        <f>IF(AND(YEAR(OctSun1+39)=Year,MONTH(OctSun1+39)=10),OctSun1+39, "")</f>
        <v/>
      </c>
      <c r="AH26" s="112" t="s">
        <v>10</v>
      </c>
      <c r="AI26" s="113"/>
      <c r="AJ26" s="113">
        <f>IF(AND(YEAR(NovSun1+4)=Year,MONTH(NovSun1+4)=11),NovSun1+4, "")</f>
        <v>46332</v>
      </c>
      <c r="AK26" s="113">
        <f>IF(AND(YEAR(NovSun1+11)=Year,MONTH(NovSun1+11)=11),NovSun1+11, "")</f>
        <v>46339</v>
      </c>
      <c r="AL26" s="113">
        <f>IF(AND(YEAR(NovSun1+18)=Year,MONTH(NovSun1+18)=11),NovSun1+18, "")</f>
        <v>46346</v>
      </c>
      <c r="AM26" s="113">
        <f>IF(AND(YEAR(NovSun1+25)=Year,MONTH(NovSun1+25)=11),NovSun1+25, "")</f>
        <v>46353</v>
      </c>
      <c r="AN26" s="113" t="str">
        <f>IF(AND(YEAR(NovSun1+32)=Year,MONTH(NovSun1+32)=11),NovSun1+32, "")</f>
        <v/>
      </c>
      <c r="AP26" s="112" t="s">
        <v>10</v>
      </c>
      <c r="AQ26" s="145">
        <f>IF(AND(YEAR(DecSun1+4)=Year,MONTH(DecSun1+4)=12),DecSun1+4, "")</f>
        <v>46360</v>
      </c>
      <c r="AR26" s="145">
        <f>IF(AND(YEAR(DecSun1+11)=Year,MONTH(DecSun1+11)=12),DecSun1+11, "")</f>
        <v>46367</v>
      </c>
      <c r="AS26" s="145">
        <f>IF(AND(YEAR(DecSun1+18)=Year,MONTH(DecSun1+18)=12),DecSun1+18, "")</f>
        <v>46374</v>
      </c>
      <c r="AT26" s="114">
        <f>IF(AND(YEAR(DecSun1+25)=Year,MONTH(DecSun1+25)=12),DecSun1+25, "")</f>
        <v>46381</v>
      </c>
      <c r="AU26" s="145" t="str">
        <f>IF(AND(YEAR(DecSun1+32)=Year,MONTH(DecSun1+32)=12),DecSun1+32, "")</f>
        <v/>
      </c>
      <c r="AV26" s="145" t="str">
        <f>IF(AND(YEAR(DecSun1+39)=Year,MONTH(DecSun1+39)=12),DecSun1+39, "")</f>
        <v/>
      </c>
    </row>
    <row r="27" spans="1:48" x14ac:dyDescent="0.25">
      <c r="B27" s="112" t="s">
        <v>11</v>
      </c>
      <c r="C27" s="116">
        <f>IF(AND(YEAR(JulSun1+5)=Year,MONTH(JulSun1+5)=7),JulSun1+5, "")</f>
        <v>46207</v>
      </c>
      <c r="D27" s="116">
        <f>IF(AND(YEAR(JulSun1+12)=Year,MONTH(JulSun1+12)=7),JulSun1+12, "")</f>
        <v>46214</v>
      </c>
      <c r="E27" s="116">
        <f>IF(AND(YEAR(JulSun1+19)=Year,MONTH(JulSun1+19)=7),JulSun1+19, "")</f>
        <v>46221</v>
      </c>
      <c r="F27" s="116">
        <f>IF(AND(YEAR(JulSun1+26)=Year,MONTH(JulSun1+26)=7),JulSun1+26, "")</f>
        <v>46228</v>
      </c>
      <c r="G27" s="116" t="str">
        <f>IF(AND(YEAR(JulSun1+33)=Year,MONTH(JulSun1+33)=7),JulSun1+33, "")</f>
        <v/>
      </c>
      <c r="H27" s="116" t="str">
        <f>IF(AND(YEAR(JulSun1+40)=Year,MONTH(JulSun1+40)=7),JulSun1+40, "")</f>
        <v/>
      </c>
      <c r="J27" s="112" t="s">
        <v>11</v>
      </c>
      <c r="K27" s="116">
        <f>IF(AND(YEAR(AugSun1+12)=Year,MONTH(AugSun1+12)=8),AugSun1+12, "")</f>
        <v>46235</v>
      </c>
      <c r="L27" s="116">
        <f>IF(AND(YEAR(AugSun1+19)=Year,MONTH(AugSun1+19)=8),AugSun1+19, "")</f>
        <v>46242</v>
      </c>
      <c r="M27" s="114">
        <f>IF(AND(YEAR(AugSun1+26)=Year,MONTH(AugSun1+26)=8),AugSun1+26, "")</f>
        <v>46249</v>
      </c>
      <c r="N27" s="116">
        <f>IF(AND(YEAR(AugSun1+33)=Year,MONTH(AugSun1+33)=8),AugSun1+33, "")</f>
        <v>46256</v>
      </c>
      <c r="O27" s="116">
        <f>IF(AND(YEAR(AugSun1+40)=Year,MONTH(AugSun1+40)=8),AugSun1+40, "")</f>
        <v>46263</v>
      </c>
      <c r="P27" s="116" t="str">
        <f>IF(AND(YEAR(AugSun1+46)=Year,MONTH(AugSun1+46)=8),AugSun1+46, "")</f>
        <v/>
      </c>
      <c r="R27" s="115" t="s">
        <v>11</v>
      </c>
      <c r="S27" s="116">
        <f>IF(AND(YEAR(SepSun1+5)=Year,MONTH(SepSun1+5)=9),SepSun1+5, "")</f>
        <v>46270</v>
      </c>
      <c r="T27" s="116">
        <f>IF(AND(YEAR(SepSun1+12)=Year,MONTH(SepSun1+12)=9),SepSun1+12, "")</f>
        <v>46277</v>
      </c>
      <c r="U27" s="116">
        <f>IF(AND(YEAR(SepSun1+19)=Year,MONTH(SepSun1+19)=9),SepSun1+19, "")</f>
        <v>46284</v>
      </c>
      <c r="V27" s="116">
        <f>IF(AND(YEAR(SepSun1+26)=Year,MONTH(SepSun1+26)=9),SepSun1+26, "")</f>
        <v>46291</v>
      </c>
      <c r="W27" s="116" t="str">
        <f>IF(AND(YEAR(SepSun1+33)=Year,MONTH(SepSun1+33)=9),SepSun1+33, "")</f>
        <v/>
      </c>
      <c r="X27" s="116" t="str">
        <f>IF(AND(YEAR(SepSun1+40)=Year,MONTH(SepSun1+40)=9),SepSun1+40, "")</f>
        <v/>
      </c>
      <c r="Z27" s="115" t="s">
        <v>11</v>
      </c>
      <c r="AA27" s="116">
        <f>IF(AND(YEAR(OctSun1+5)=Year,MONTH(OctSun1+5)=10),OctSun1+5, "")</f>
        <v>46298</v>
      </c>
      <c r="AB27" s="116">
        <f>IF(AND(YEAR(OctSun1+12)=Year,MONTH(OctSun1+12)=10),OctSun1+12, "")</f>
        <v>46305</v>
      </c>
      <c r="AC27" s="116">
        <f>IF(AND(YEAR(OctSun1+19)=Year,MONTH(OctSun1+19)=10),OctSun1+19, "")</f>
        <v>46312</v>
      </c>
      <c r="AD27" s="116">
        <f>IF(AND(YEAR(OctSun1+26)=Year,MONTH(OctSun1+26)=10),OctSun1+26, "")</f>
        <v>46319</v>
      </c>
      <c r="AE27" s="116">
        <f>IF(AND(YEAR(OctSun1+33)=Year,MONTH(OctSun1+33)=10),OctSun1+33, "")</f>
        <v>46326</v>
      </c>
      <c r="AF27" s="116" t="str">
        <f>IF(AND(YEAR(OctSun1+40)=Year,MONTH(OctSun1+40)=10),OctSun1+40, "")</f>
        <v/>
      </c>
      <c r="AH27" s="115" t="s">
        <v>11</v>
      </c>
      <c r="AI27" s="146"/>
      <c r="AJ27" s="146">
        <f>IF(AND(YEAR(NovSun1+5)=Year,MONTH(NovSun1+5)=11),NovSun1+5, "")</f>
        <v>46333</v>
      </c>
      <c r="AK27" s="116">
        <f>IF(AND(YEAR(NovSun1+12)=Year,MONTH(NovSun1+12)=11),NovSun1+12, "")</f>
        <v>46340</v>
      </c>
      <c r="AL27" s="116">
        <f>IF(AND(YEAR(NovSun1+19)=Year,MONTH(NovSun1+19)=11),NovSun1+19, "")</f>
        <v>46347</v>
      </c>
      <c r="AM27" s="116">
        <f>IF(AND(YEAR(NovSun1+26)=Year,MONTH(NovSun1+26)=11),NovSun1+26, "")</f>
        <v>46354</v>
      </c>
      <c r="AN27" s="116" t="str">
        <f>IF(AND(YEAR(NovSun1+33)=Year,MONTH(NovSun1+33)=11),NovSun1+33, "")</f>
        <v/>
      </c>
      <c r="AP27" s="115" t="s">
        <v>11</v>
      </c>
      <c r="AQ27" s="116">
        <f>IF(AND(YEAR(DecSun1+5)=Year,MONTH(DecSun1+5)=12),DecSun1+5, "")</f>
        <v>46361</v>
      </c>
      <c r="AR27" s="116">
        <f>IF(AND(YEAR(DecSun1+12)=Year,MONTH(DecSun1+12)=12),DecSun1+12, "")</f>
        <v>46368</v>
      </c>
      <c r="AS27" s="116">
        <f>IF(AND(YEAR(DecSun1+19)=Year,MONTH(DecSun1+19)=12),DecSun1+19, "")</f>
        <v>46375</v>
      </c>
      <c r="AT27" s="114">
        <f>IF(AND(YEAR(DecSun1+26)=Year,MONTH(DecSun1+26)=12),DecSun1+26, "")</f>
        <v>46382</v>
      </c>
      <c r="AU27" s="116" t="str">
        <f>IF(AND(YEAR(DecSun1+33)=Year,MONTH(DecSun1+33)=12),DecSun1+33, "")</f>
        <v/>
      </c>
      <c r="AV27" s="116" t="str">
        <f>IF(AND(YEAR(DecSun1+40)=Year,MONTH(DecSun1+40)=12),DecSun1+40, "")</f>
        <v/>
      </c>
    </row>
    <row r="28" spans="1:48" x14ac:dyDescent="0.25">
      <c r="B28" s="112" t="s">
        <v>12</v>
      </c>
      <c r="C28" s="116">
        <f>IF(AND(YEAR(JulSun1+6)=Year,MONTH(JulSun1+6)=7),JulSun1+6, "")</f>
        <v>46208</v>
      </c>
      <c r="D28" s="116">
        <f>IF(AND(YEAR(JulSun1+13)=Year,MONTH(JulSun1+13)=7),JulSun1+13, "")</f>
        <v>46215</v>
      </c>
      <c r="E28" s="116">
        <f>IF(AND(YEAR(JulSun1+20)=Year,MONTH(JulSun1+20)=7),JulSun1+20, "")</f>
        <v>46222</v>
      </c>
      <c r="F28" s="116">
        <f>IF(AND(YEAR(JulSun1+27)=Year,MONTH(JulSun1+27)=7),JulSun1+27, "")</f>
        <v>46229</v>
      </c>
      <c r="G28" s="116" t="str">
        <f>IF(AND(YEAR(JulSun1+34)=Year,MONTH(JulSun1+34)=7),JulSun1+34, "")</f>
        <v/>
      </c>
      <c r="H28" s="116" t="str">
        <f>IF(AND(YEAR(JulSun1+41)=Year,MONTH(JulSun1+41)=7),JulSun1+41, "")</f>
        <v/>
      </c>
      <c r="J28" s="112" t="s">
        <v>12</v>
      </c>
      <c r="K28" s="116">
        <f>IF(AND(YEAR(AugSun1+13)=Year,MONTH(AugSun1+13)=8),AugSun1+13, "")</f>
        <v>46236</v>
      </c>
      <c r="L28" s="116">
        <f>IF(AND(YEAR(AugSun1+20)=Year,MONTH(AugSun1+20)=8),AugSun1+20, "")</f>
        <v>46243</v>
      </c>
      <c r="M28" s="116">
        <f>IF(AND(YEAR(AugSun1+27)=Year,MONTH(AugSun1+27)=8),AugSun1+27, "")</f>
        <v>46250</v>
      </c>
      <c r="N28" s="116">
        <f>IF(AND(YEAR(AugSun1+34)=Year,MONTH(AugSun1+34)=8),AugSun1+34, "")</f>
        <v>46257</v>
      </c>
      <c r="O28" s="116">
        <f>IF(AND(YEAR(AugSun1+41)=Year,MONTH(AugSun1+41)=8),AugSun1+41, "")</f>
        <v>46264</v>
      </c>
      <c r="P28" s="116" t="str">
        <f>IF(AND(YEAR(AugSun1+47)=Year,MONTH(AugSun1+47)=8),AugSun1+47, "")</f>
        <v/>
      </c>
      <c r="R28" s="115" t="s">
        <v>12</v>
      </c>
      <c r="S28" s="116">
        <f>IF(AND(YEAR(SepSun1+6)=Year,MONTH(SepSun1+6)=9),SepSun1+6, "")</f>
        <v>46271</v>
      </c>
      <c r="T28" s="116">
        <f>IF(AND(YEAR(SepSun1+13)=Year,MONTH(SepSun1+13)=9),SepSun1+13, "")</f>
        <v>46278</v>
      </c>
      <c r="U28" s="116">
        <f>IF(AND(YEAR(SepSun1+20)=Year,MONTH(SepSun1+20)=9),SepSun1+20, "")</f>
        <v>46285</v>
      </c>
      <c r="V28" s="116">
        <f>IF(AND(YEAR(SepSun1+27)=Year,MONTH(SepSun1+27)=9),SepSun1+27, "")</f>
        <v>46292</v>
      </c>
      <c r="W28" s="116" t="str">
        <f>IF(AND(YEAR(SepSun1+34)=Year,MONTH(SepSun1+34)=9),SepSun1+34, "")</f>
        <v/>
      </c>
      <c r="X28" s="116" t="str">
        <f>IF(AND(YEAR(SepSun1+41)=Year,MONTH(SepSun1+41)=9),SepSun1+41, "")</f>
        <v/>
      </c>
      <c r="Z28" s="115" t="s">
        <v>12</v>
      </c>
      <c r="AA28" s="116">
        <f>IF(AND(YEAR(OctSun1+6)=Year,MONTH(OctSun1+6)=10),OctSun1+6, "")</f>
        <v>46299</v>
      </c>
      <c r="AB28" s="116">
        <f>IF(AND(YEAR(OctSun1+13)=Year,MONTH(OctSun1+13)=10),OctSun1+13, "")</f>
        <v>46306</v>
      </c>
      <c r="AC28" s="116">
        <f>IF(AND(YEAR(OctSun1+20)=Year,MONTH(OctSun1+20)=10),OctSun1+20, "")</f>
        <v>46313</v>
      </c>
      <c r="AD28" s="116">
        <f>IF(AND(YEAR(OctSun1+27)=Year,MONTH(OctSun1+27)=10),OctSun1+27, "")</f>
        <v>46320</v>
      </c>
      <c r="AE28" s="116" t="str">
        <f>IF(AND(YEAR(OctSun1+34)=Year,MONTH(OctSun1+34)=10),OctSun1+34, "")</f>
        <v/>
      </c>
      <c r="AF28" s="116" t="str">
        <f>IF(AND(YEAR(OctSun1+41)=Year,MONTH(OctSun1+41)=10),OctSun1+41, "")</f>
        <v/>
      </c>
      <c r="AH28" s="115" t="s">
        <v>12</v>
      </c>
      <c r="AI28" s="114">
        <v>45962</v>
      </c>
      <c r="AJ28" s="116">
        <f>IF(AND(YEAR(NovSun1+6)=Year,MONTH(NovSun1+6)=11),NovSun1+6, "")</f>
        <v>46334</v>
      </c>
      <c r="AK28" s="116">
        <f>IF(AND(YEAR(NovSun1+13)=Year,MONTH(NovSun1+13)=11),NovSun1+13, "")</f>
        <v>46341</v>
      </c>
      <c r="AL28" s="116">
        <f>IF(AND(YEAR(NovSun1+20)=Year,MONTH(NovSun1+20)=11),NovSun1+20, "")</f>
        <v>46348</v>
      </c>
      <c r="AM28" s="116">
        <f>IF(AND(YEAR(NovSun1+27)=Year,MONTH(NovSun1+27)=11),NovSun1+27, "")</f>
        <v>46355</v>
      </c>
      <c r="AN28" s="116" t="str">
        <f>IF(AND(YEAR(NovSun1+34)=Year,MONTH(NovSun1+34)=11),NovSun1+34, "")</f>
        <v/>
      </c>
      <c r="AP28" s="115" t="s">
        <v>12</v>
      </c>
      <c r="AQ28" s="116">
        <f>IF(AND(YEAR(DecSun1+6)=Year,MONTH(DecSun1+6)=12),DecSun1+6, "")</f>
        <v>46362</v>
      </c>
      <c r="AR28" s="116">
        <f>IF(AND(YEAR(DecSun1+13)=Year,MONTH(DecSun1+13)=12),DecSun1+13, "")</f>
        <v>46369</v>
      </c>
      <c r="AS28" s="116">
        <f>IF(AND(YEAR(DecSun1+20)=Year,MONTH(DecSun1+20)=12),DecSun1+20, "")</f>
        <v>46376</v>
      </c>
      <c r="AT28" s="116">
        <f>IF(AND(YEAR(DecSun1+27)=Year,MONTH(DecSun1+27)=12),DecSun1+27, "")</f>
        <v>46383</v>
      </c>
      <c r="AU28" s="116" t="str">
        <f>IF(AND(YEAR(DecSun1+34)=Year,MONTH(DecSun1+34)=12),DecSun1+34, "")</f>
        <v/>
      </c>
      <c r="AV28" s="116" t="str">
        <f>IF(AND(YEAR(DecSun1+41)=Year,MONTH(DecSun1+41)=12),DecSun1+41, "")</f>
        <v/>
      </c>
    </row>
    <row r="29" spans="1:48" s="117" customFormat="1" x14ac:dyDescent="0.25">
      <c r="C29" s="118">
        <f>COUNT(C22:C26)</f>
        <v>3</v>
      </c>
      <c r="D29" s="118">
        <f>COUNT(D22:D26)</f>
        <v>5</v>
      </c>
      <c r="E29" s="118">
        <f t="shared" ref="E29:AV29" si="12">COUNT(E22:E26)</f>
        <v>5</v>
      </c>
      <c r="F29" s="118">
        <f t="shared" si="12"/>
        <v>5</v>
      </c>
      <c r="G29" s="118">
        <f t="shared" si="12"/>
        <v>5</v>
      </c>
      <c r="H29" s="118">
        <f t="shared" si="12"/>
        <v>0</v>
      </c>
      <c r="I29" s="118"/>
      <c r="J29" s="118"/>
      <c r="K29" s="118">
        <f t="shared" si="12"/>
        <v>0</v>
      </c>
      <c r="L29" s="118">
        <f t="shared" si="12"/>
        <v>5</v>
      </c>
      <c r="M29" s="118">
        <f t="shared" si="12"/>
        <v>5</v>
      </c>
      <c r="N29" s="118">
        <f t="shared" si="12"/>
        <v>5</v>
      </c>
      <c r="O29" s="118">
        <f t="shared" si="12"/>
        <v>5</v>
      </c>
      <c r="P29" s="118">
        <f t="shared" si="12"/>
        <v>1</v>
      </c>
      <c r="Q29" s="118"/>
      <c r="R29" s="118"/>
      <c r="S29" s="118">
        <f t="shared" si="12"/>
        <v>4</v>
      </c>
      <c r="T29" s="118">
        <f t="shared" si="12"/>
        <v>5</v>
      </c>
      <c r="U29" s="118">
        <f t="shared" si="12"/>
        <v>5</v>
      </c>
      <c r="V29" s="118">
        <f t="shared" si="12"/>
        <v>5</v>
      </c>
      <c r="W29" s="118">
        <f t="shared" si="12"/>
        <v>3</v>
      </c>
      <c r="X29" s="118">
        <f t="shared" si="12"/>
        <v>0</v>
      </c>
      <c r="Y29" s="118"/>
      <c r="Z29" s="118"/>
      <c r="AA29" s="118">
        <f t="shared" si="12"/>
        <v>2</v>
      </c>
      <c r="AB29" s="118">
        <f t="shared" si="12"/>
        <v>5</v>
      </c>
      <c r="AC29" s="118">
        <f t="shared" si="12"/>
        <v>5</v>
      </c>
      <c r="AD29" s="118">
        <f t="shared" si="12"/>
        <v>5</v>
      </c>
      <c r="AE29" s="118">
        <f t="shared" si="12"/>
        <v>5</v>
      </c>
      <c r="AF29" s="118">
        <f t="shared" si="12"/>
        <v>0</v>
      </c>
      <c r="AG29" s="118"/>
      <c r="AH29" s="118"/>
      <c r="AI29" s="118">
        <f t="shared" si="12"/>
        <v>0</v>
      </c>
      <c r="AJ29" s="118">
        <f t="shared" si="12"/>
        <v>5</v>
      </c>
      <c r="AK29" s="118">
        <f t="shared" si="12"/>
        <v>5</v>
      </c>
      <c r="AL29" s="118">
        <f t="shared" si="12"/>
        <v>5</v>
      </c>
      <c r="AM29" s="118">
        <f t="shared" si="12"/>
        <v>5</v>
      </c>
      <c r="AN29" s="118">
        <f t="shared" si="12"/>
        <v>1</v>
      </c>
      <c r="AO29" s="118"/>
      <c r="AP29" s="118"/>
      <c r="AQ29" s="118">
        <f t="shared" si="12"/>
        <v>4</v>
      </c>
      <c r="AR29" s="118">
        <f t="shared" si="12"/>
        <v>5</v>
      </c>
      <c r="AS29" s="118">
        <f t="shared" si="12"/>
        <v>5</v>
      </c>
      <c r="AT29" s="118">
        <f t="shared" si="12"/>
        <v>5</v>
      </c>
      <c r="AU29" s="118">
        <f t="shared" si="12"/>
        <v>4</v>
      </c>
      <c r="AV29" s="118">
        <f t="shared" si="12"/>
        <v>0</v>
      </c>
    </row>
    <row r="30" spans="1:48" s="117" customFormat="1" x14ac:dyDescent="0.25">
      <c r="C30" s="118">
        <f t="shared" ref="C30:H30" si="13">C29</f>
        <v>3</v>
      </c>
      <c r="D30" s="118">
        <f t="shared" si="13"/>
        <v>5</v>
      </c>
      <c r="E30" s="118">
        <f t="shared" si="13"/>
        <v>5</v>
      </c>
      <c r="F30" s="118">
        <f t="shared" si="13"/>
        <v>5</v>
      </c>
      <c r="G30" s="118">
        <f t="shared" si="13"/>
        <v>5</v>
      </c>
      <c r="H30" s="118">
        <f t="shared" si="13"/>
        <v>0</v>
      </c>
      <c r="I30" s="118"/>
      <c r="J30" s="118"/>
      <c r="K30" s="118">
        <f t="shared" ref="K30" si="14">K29</f>
        <v>0</v>
      </c>
      <c r="L30" s="118">
        <v>4</v>
      </c>
      <c r="M30" s="118">
        <v>5</v>
      </c>
      <c r="N30" s="118">
        <v>5</v>
      </c>
      <c r="O30" s="118">
        <f t="shared" ref="O30:P30" si="15">O29</f>
        <v>5</v>
      </c>
      <c r="P30" s="118">
        <f t="shared" si="15"/>
        <v>1</v>
      </c>
      <c r="Q30" s="118"/>
      <c r="R30" s="118"/>
      <c r="S30" s="118">
        <f t="shared" ref="S30:AF30" si="16">S29</f>
        <v>4</v>
      </c>
      <c r="T30" s="118">
        <f t="shared" si="16"/>
        <v>5</v>
      </c>
      <c r="U30" s="118">
        <f t="shared" si="16"/>
        <v>5</v>
      </c>
      <c r="V30" s="118">
        <f t="shared" si="16"/>
        <v>5</v>
      </c>
      <c r="W30" s="118">
        <f t="shared" si="16"/>
        <v>3</v>
      </c>
      <c r="X30" s="118">
        <f t="shared" si="16"/>
        <v>0</v>
      </c>
      <c r="Y30" s="118"/>
      <c r="Z30" s="118"/>
      <c r="AA30" s="118">
        <f t="shared" si="16"/>
        <v>2</v>
      </c>
      <c r="AB30" s="118">
        <f t="shared" si="16"/>
        <v>5</v>
      </c>
      <c r="AC30" s="118">
        <f t="shared" si="16"/>
        <v>5</v>
      </c>
      <c r="AD30" s="118">
        <f t="shared" si="16"/>
        <v>5</v>
      </c>
      <c r="AE30" s="118">
        <f t="shared" si="16"/>
        <v>5</v>
      </c>
      <c r="AF30" s="118">
        <f t="shared" si="16"/>
        <v>0</v>
      </c>
      <c r="AG30" s="118"/>
      <c r="AH30" s="118"/>
      <c r="AI30" s="118">
        <f t="shared" ref="AI30:AK30" si="17">AI29</f>
        <v>0</v>
      </c>
      <c r="AJ30" s="118">
        <f t="shared" si="17"/>
        <v>5</v>
      </c>
      <c r="AK30" s="118">
        <f t="shared" si="17"/>
        <v>5</v>
      </c>
      <c r="AL30" s="118">
        <v>4</v>
      </c>
      <c r="AM30" s="118">
        <f t="shared" ref="AM30:AN30" si="18">AM29</f>
        <v>5</v>
      </c>
      <c r="AN30" s="118">
        <f t="shared" si="18"/>
        <v>1</v>
      </c>
      <c r="AO30" s="118"/>
      <c r="AP30" s="118"/>
      <c r="AQ30" s="118">
        <f t="shared" ref="AQ30:AS30" si="19">AQ29</f>
        <v>4</v>
      </c>
      <c r="AR30" s="118">
        <f t="shared" si="19"/>
        <v>5</v>
      </c>
      <c r="AS30" s="118">
        <f t="shared" si="19"/>
        <v>5</v>
      </c>
      <c r="AT30" s="118">
        <v>4</v>
      </c>
      <c r="AU30" s="118">
        <f t="shared" ref="AU30:AV30" si="20">AU29</f>
        <v>4</v>
      </c>
      <c r="AV30" s="118">
        <f t="shared" si="20"/>
        <v>0</v>
      </c>
    </row>
    <row r="31" spans="1:48" s="117" customFormat="1" x14ac:dyDescent="0.25">
      <c r="A31" s="157" t="s">
        <v>158</v>
      </c>
      <c r="B31" s="157"/>
      <c r="C31" s="119">
        <f>C30*8</f>
        <v>24</v>
      </c>
      <c r="D31" s="119">
        <f t="shared" ref="D31:H31" si="21">D30*8</f>
        <v>40</v>
      </c>
      <c r="E31" s="119">
        <f t="shared" si="21"/>
        <v>40</v>
      </c>
      <c r="F31" s="119">
        <f t="shared" si="21"/>
        <v>40</v>
      </c>
      <c r="G31" s="119">
        <f t="shared" si="21"/>
        <v>40</v>
      </c>
      <c r="H31" s="117">
        <f t="shared" si="21"/>
        <v>0</v>
      </c>
      <c r="K31" s="117">
        <f t="shared" ref="K31:P31" si="22">K30*8</f>
        <v>0</v>
      </c>
      <c r="L31" s="119">
        <f t="shared" si="22"/>
        <v>32</v>
      </c>
      <c r="M31" s="119">
        <f t="shared" si="22"/>
        <v>40</v>
      </c>
      <c r="N31" s="119">
        <f t="shared" si="22"/>
        <v>40</v>
      </c>
      <c r="O31" s="119">
        <f t="shared" si="22"/>
        <v>40</v>
      </c>
      <c r="P31" s="119">
        <f t="shared" si="22"/>
        <v>8</v>
      </c>
      <c r="S31" s="119">
        <f t="shared" ref="S31:X31" si="23">S30*8</f>
        <v>32</v>
      </c>
      <c r="T31" s="119">
        <f t="shared" si="23"/>
        <v>40</v>
      </c>
      <c r="U31" s="119">
        <f t="shared" si="23"/>
        <v>40</v>
      </c>
      <c r="V31" s="119">
        <f t="shared" si="23"/>
        <v>40</v>
      </c>
      <c r="W31" s="119">
        <f t="shared" si="23"/>
        <v>24</v>
      </c>
      <c r="X31" s="117">
        <f t="shared" si="23"/>
        <v>0</v>
      </c>
      <c r="AA31" s="119">
        <f t="shared" ref="AA31:AF31" si="24">AA30*8</f>
        <v>16</v>
      </c>
      <c r="AB31" s="119">
        <f t="shared" si="24"/>
        <v>40</v>
      </c>
      <c r="AC31" s="119">
        <f t="shared" si="24"/>
        <v>40</v>
      </c>
      <c r="AD31" s="119">
        <f t="shared" si="24"/>
        <v>40</v>
      </c>
      <c r="AE31" s="119">
        <f t="shared" si="24"/>
        <v>40</v>
      </c>
      <c r="AF31" s="117">
        <f t="shared" si="24"/>
        <v>0</v>
      </c>
      <c r="AI31" s="117">
        <f t="shared" ref="AI31:AN31" si="25">AI30*8</f>
        <v>0</v>
      </c>
      <c r="AJ31" s="119">
        <f t="shared" si="25"/>
        <v>40</v>
      </c>
      <c r="AK31" s="119">
        <f t="shared" si="25"/>
        <v>40</v>
      </c>
      <c r="AL31" s="119">
        <f t="shared" si="25"/>
        <v>32</v>
      </c>
      <c r="AM31" s="119">
        <f t="shared" si="25"/>
        <v>40</v>
      </c>
      <c r="AN31" s="117">
        <f t="shared" si="25"/>
        <v>8</v>
      </c>
      <c r="AQ31" s="119">
        <f t="shared" ref="AQ31:AV31" si="26">AQ30*8</f>
        <v>32</v>
      </c>
      <c r="AR31" s="119">
        <f t="shared" si="26"/>
        <v>40</v>
      </c>
      <c r="AS31" s="119">
        <f t="shared" si="26"/>
        <v>40</v>
      </c>
      <c r="AT31" s="119">
        <f t="shared" si="26"/>
        <v>32</v>
      </c>
      <c r="AU31" s="119">
        <f t="shared" si="26"/>
        <v>32</v>
      </c>
      <c r="AV31" s="117">
        <f t="shared" si="26"/>
        <v>0</v>
      </c>
    </row>
    <row r="32" spans="1:48" x14ac:dyDescent="0.25">
      <c r="A32" s="158" t="s">
        <v>212</v>
      </c>
      <c r="B32" s="158"/>
      <c r="C32">
        <f>(C29-C30)*8</f>
        <v>0</v>
      </c>
      <c r="D32">
        <f t="shared" ref="D32:AV32" si="27">(D29-D30)*8</f>
        <v>0</v>
      </c>
      <c r="E32">
        <f t="shared" si="27"/>
        <v>0</v>
      </c>
      <c r="F32">
        <f t="shared" si="27"/>
        <v>0</v>
      </c>
      <c r="G32">
        <f t="shared" si="27"/>
        <v>0</v>
      </c>
      <c r="H32">
        <f t="shared" si="27"/>
        <v>0</v>
      </c>
      <c r="K32">
        <f t="shared" si="27"/>
        <v>0</v>
      </c>
      <c r="L32">
        <f t="shared" si="27"/>
        <v>8</v>
      </c>
      <c r="M32" s="120">
        <f t="shared" si="27"/>
        <v>0</v>
      </c>
      <c r="N32" s="120">
        <f t="shared" si="27"/>
        <v>0</v>
      </c>
      <c r="O32">
        <f t="shared" si="27"/>
        <v>0</v>
      </c>
      <c r="P32">
        <f t="shared" si="27"/>
        <v>0</v>
      </c>
      <c r="S32">
        <f t="shared" si="27"/>
        <v>0</v>
      </c>
      <c r="T32">
        <f t="shared" si="27"/>
        <v>0</v>
      </c>
      <c r="U32">
        <f t="shared" si="27"/>
        <v>0</v>
      </c>
      <c r="V32">
        <f t="shared" si="27"/>
        <v>0</v>
      </c>
      <c r="W32">
        <f t="shared" si="27"/>
        <v>0</v>
      </c>
      <c r="X32">
        <f t="shared" si="27"/>
        <v>0</v>
      </c>
      <c r="AA32">
        <f t="shared" si="27"/>
        <v>0</v>
      </c>
      <c r="AB32">
        <f t="shared" si="27"/>
        <v>0</v>
      </c>
      <c r="AC32">
        <f t="shared" si="27"/>
        <v>0</v>
      </c>
      <c r="AD32">
        <f t="shared" si="27"/>
        <v>0</v>
      </c>
      <c r="AE32">
        <f t="shared" si="27"/>
        <v>0</v>
      </c>
      <c r="AF32">
        <f t="shared" si="27"/>
        <v>0</v>
      </c>
      <c r="AI32">
        <f t="shared" si="27"/>
        <v>0</v>
      </c>
      <c r="AJ32">
        <f t="shared" si="27"/>
        <v>0</v>
      </c>
      <c r="AK32">
        <f t="shared" si="27"/>
        <v>0</v>
      </c>
      <c r="AL32" s="120">
        <f t="shared" si="27"/>
        <v>8</v>
      </c>
      <c r="AM32">
        <f t="shared" si="27"/>
        <v>0</v>
      </c>
      <c r="AN32">
        <f t="shared" si="27"/>
        <v>0</v>
      </c>
      <c r="AQ32">
        <f t="shared" si="27"/>
        <v>0</v>
      </c>
      <c r="AR32">
        <f t="shared" si="27"/>
        <v>0</v>
      </c>
      <c r="AS32">
        <f t="shared" si="27"/>
        <v>0</v>
      </c>
      <c r="AT32" s="120">
        <f t="shared" si="27"/>
        <v>8</v>
      </c>
      <c r="AU32">
        <f t="shared" si="27"/>
        <v>0</v>
      </c>
      <c r="AV32">
        <f t="shared" si="27"/>
        <v>0</v>
      </c>
    </row>
    <row r="33" spans="2:48" ht="15.75" thickBot="1" x14ac:dyDescent="0.3"/>
    <row r="34" spans="2:48" x14ac:dyDescent="0.25">
      <c r="B34" s="155" t="s">
        <v>213</v>
      </c>
      <c r="C34" s="156"/>
      <c r="D34" s="156"/>
      <c r="E34" s="156"/>
      <c r="F34" s="156"/>
      <c r="G34" s="153">
        <f>SUM(C31:H31)</f>
        <v>184</v>
      </c>
      <c r="H34" s="154"/>
      <c r="J34" s="155" t="s">
        <v>213</v>
      </c>
      <c r="K34" s="156"/>
      <c r="L34" s="156"/>
      <c r="M34" s="156"/>
      <c r="N34" s="156"/>
      <c r="O34" s="153">
        <f>SUM(K31:P31)</f>
        <v>160</v>
      </c>
      <c r="P34" s="154"/>
      <c r="R34" s="155" t="s">
        <v>213</v>
      </c>
      <c r="S34" s="156"/>
      <c r="T34" s="156"/>
      <c r="U34" s="156"/>
      <c r="V34" s="156"/>
      <c r="W34" s="153">
        <f>SUM(S31:X31)</f>
        <v>176</v>
      </c>
      <c r="X34" s="154"/>
      <c r="Z34" s="155" t="s">
        <v>213</v>
      </c>
      <c r="AA34" s="156"/>
      <c r="AB34" s="156"/>
      <c r="AC34" s="156"/>
      <c r="AD34" s="156"/>
      <c r="AE34" s="153">
        <f>SUM(AA31:AF31)</f>
        <v>176</v>
      </c>
      <c r="AF34" s="154"/>
      <c r="AH34" s="155" t="s">
        <v>213</v>
      </c>
      <c r="AI34" s="156"/>
      <c r="AJ34" s="156"/>
      <c r="AK34" s="156"/>
      <c r="AL34" s="156"/>
      <c r="AM34" s="153">
        <f>SUM(AI31:AN31)</f>
        <v>160</v>
      </c>
      <c r="AN34" s="154"/>
      <c r="AP34" s="155" t="s">
        <v>213</v>
      </c>
      <c r="AQ34" s="156"/>
      <c r="AR34" s="156"/>
      <c r="AS34" s="156"/>
      <c r="AT34" s="156"/>
      <c r="AU34" s="153">
        <f>SUM(AQ31:AV31)</f>
        <v>176</v>
      </c>
      <c r="AV34" s="154"/>
    </row>
    <row r="35" spans="2:48" x14ac:dyDescent="0.25">
      <c r="B35" s="161" t="s">
        <v>215</v>
      </c>
      <c r="C35" s="159"/>
      <c r="D35" s="159"/>
      <c r="E35" s="159"/>
      <c r="F35" s="159"/>
      <c r="G35" s="159">
        <f>SUM(C32:H32)</f>
        <v>0</v>
      </c>
      <c r="H35" s="160"/>
      <c r="J35" s="161" t="s">
        <v>215</v>
      </c>
      <c r="K35" s="159"/>
      <c r="L35" s="159"/>
      <c r="M35" s="159"/>
      <c r="N35" s="159"/>
      <c r="O35" s="159">
        <f>SUM(K32:P32)</f>
        <v>8</v>
      </c>
      <c r="P35" s="160"/>
      <c r="R35" s="161" t="s">
        <v>215</v>
      </c>
      <c r="S35" s="159"/>
      <c r="T35" s="159"/>
      <c r="U35" s="159"/>
      <c r="V35" s="159"/>
      <c r="W35" s="159">
        <f>SUM(S32:X32)</f>
        <v>0</v>
      </c>
      <c r="X35" s="160"/>
      <c r="Z35" s="161" t="s">
        <v>215</v>
      </c>
      <c r="AA35" s="159"/>
      <c r="AB35" s="159"/>
      <c r="AC35" s="159"/>
      <c r="AD35" s="159"/>
      <c r="AE35" s="159">
        <f>SUM(AA32:AF32)</f>
        <v>0</v>
      </c>
      <c r="AF35" s="160"/>
      <c r="AH35" s="161" t="s">
        <v>215</v>
      </c>
      <c r="AI35" s="159"/>
      <c r="AJ35" s="159"/>
      <c r="AK35" s="159"/>
      <c r="AL35" s="159"/>
      <c r="AM35" s="159">
        <f>SUM(AI32:AN32)</f>
        <v>8</v>
      </c>
      <c r="AN35" s="160"/>
      <c r="AP35" s="161" t="s">
        <v>215</v>
      </c>
      <c r="AQ35" s="159"/>
      <c r="AR35" s="159"/>
      <c r="AS35" s="159"/>
      <c r="AT35" s="159"/>
      <c r="AU35" s="159">
        <f>SUM(AQ32:AV32)</f>
        <v>8</v>
      </c>
      <c r="AV35" s="160"/>
    </row>
    <row r="36" spans="2:48" ht="15.75" thickBot="1" x14ac:dyDescent="0.3">
      <c r="B36" s="162" t="s">
        <v>214</v>
      </c>
      <c r="C36" s="163"/>
      <c r="D36" s="163"/>
      <c r="E36" s="163"/>
      <c r="F36" s="163"/>
      <c r="G36" s="164">
        <f>SUM(G34:H35)</f>
        <v>184</v>
      </c>
      <c r="H36" s="165"/>
      <c r="J36" s="162" t="s">
        <v>214</v>
      </c>
      <c r="K36" s="163"/>
      <c r="L36" s="163"/>
      <c r="M36" s="163"/>
      <c r="N36" s="163"/>
      <c r="O36" s="164">
        <f>SUM(O34:P35)</f>
        <v>168</v>
      </c>
      <c r="P36" s="165"/>
      <c r="R36" s="162" t="s">
        <v>214</v>
      </c>
      <c r="S36" s="163"/>
      <c r="T36" s="163"/>
      <c r="U36" s="163"/>
      <c r="V36" s="163"/>
      <c r="W36" s="164">
        <f>SUM(W34:X35)</f>
        <v>176</v>
      </c>
      <c r="X36" s="165"/>
      <c r="Z36" s="162" t="s">
        <v>214</v>
      </c>
      <c r="AA36" s="163"/>
      <c r="AB36" s="163"/>
      <c r="AC36" s="163"/>
      <c r="AD36" s="163"/>
      <c r="AE36" s="164">
        <f>SUM(AE34:AF35)</f>
        <v>176</v>
      </c>
      <c r="AF36" s="165"/>
      <c r="AH36" s="162" t="s">
        <v>214</v>
      </c>
      <c r="AI36" s="163"/>
      <c r="AJ36" s="163"/>
      <c r="AK36" s="163"/>
      <c r="AL36" s="163"/>
      <c r="AM36" s="164">
        <f>SUM(AM34:AN35)</f>
        <v>168</v>
      </c>
      <c r="AN36" s="165"/>
      <c r="AP36" s="162" t="s">
        <v>214</v>
      </c>
      <c r="AQ36" s="163"/>
      <c r="AR36" s="163"/>
      <c r="AS36" s="163"/>
      <c r="AT36" s="163"/>
      <c r="AU36" s="164">
        <f>SUM(AU34:AV35)</f>
        <v>184</v>
      </c>
      <c r="AV36" s="165"/>
    </row>
    <row r="37" spans="2:48" x14ac:dyDescent="0.25"/>
    <row r="38" spans="2:48" x14ac:dyDescent="0.25"/>
    <row r="39" spans="2:48" x14ac:dyDescent="0.25"/>
    <row r="40" spans="2:48" x14ac:dyDescent="0.25"/>
    <row r="41" spans="2:48" x14ac:dyDescent="0.25"/>
    <row r="42" spans="2:48" x14ac:dyDescent="0.25"/>
    <row r="43" spans="2:48" x14ac:dyDescent="0.25"/>
    <row r="44" spans="2:48" x14ac:dyDescent="0.25"/>
    <row r="45" spans="2:48" x14ac:dyDescent="0.25"/>
    <row r="46" spans="2:48" x14ac:dyDescent="0.25"/>
    <row r="47" spans="2:48" x14ac:dyDescent="0.25"/>
    <row r="48" spans="2: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</sheetData>
  <mergeCells count="89">
    <mergeCell ref="AP36:AT36"/>
    <mergeCell ref="AU36:AV36"/>
    <mergeCell ref="R35:V35"/>
    <mergeCell ref="W36:X36"/>
    <mergeCell ref="Z36:AD36"/>
    <mergeCell ref="AE36:AF36"/>
    <mergeCell ref="AH36:AL36"/>
    <mergeCell ref="AM36:AN36"/>
    <mergeCell ref="B36:F36"/>
    <mergeCell ref="G36:H36"/>
    <mergeCell ref="J36:N36"/>
    <mergeCell ref="O36:P36"/>
    <mergeCell ref="R36:V36"/>
    <mergeCell ref="J35:N35"/>
    <mergeCell ref="B35:F35"/>
    <mergeCell ref="G35:H35"/>
    <mergeCell ref="O35:P35"/>
    <mergeCell ref="AM35:AN35"/>
    <mergeCell ref="A31:B31"/>
    <mergeCell ref="A32:B32"/>
    <mergeCell ref="B34:F34"/>
    <mergeCell ref="G34:H34"/>
    <mergeCell ref="J34:N34"/>
    <mergeCell ref="AP17:AT17"/>
    <mergeCell ref="AU17:AV17"/>
    <mergeCell ref="W16:X16"/>
    <mergeCell ref="Z16:AD16"/>
    <mergeCell ref="W35:X35"/>
    <mergeCell ref="Z35:AD35"/>
    <mergeCell ref="AE35:AF35"/>
    <mergeCell ref="AH35:AL35"/>
    <mergeCell ref="AH34:AL34"/>
    <mergeCell ref="AP35:AT35"/>
    <mergeCell ref="AU35:AV35"/>
    <mergeCell ref="W17:X17"/>
    <mergeCell ref="Z17:AD17"/>
    <mergeCell ref="AE17:AF17"/>
    <mergeCell ref="AH17:AL17"/>
    <mergeCell ref="AM17:AN17"/>
    <mergeCell ref="B17:F17"/>
    <mergeCell ref="G17:H17"/>
    <mergeCell ref="J17:N17"/>
    <mergeCell ref="O17:P17"/>
    <mergeCell ref="R17:V17"/>
    <mergeCell ref="B16:F16"/>
    <mergeCell ref="G16:H16"/>
    <mergeCell ref="J16:N16"/>
    <mergeCell ref="O16:P16"/>
    <mergeCell ref="R16:V16"/>
    <mergeCell ref="AH15:AL15"/>
    <mergeCell ref="AM15:AN15"/>
    <mergeCell ref="AP15:AT15"/>
    <mergeCell ref="AU15:AV15"/>
    <mergeCell ref="AE16:AF16"/>
    <mergeCell ref="AH16:AL16"/>
    <mergeCell ref="AM16:AN16"/>
    <mergeCell ref="AP16:AT16"/>
    <mergeCell ref="AU16:AV16"/>
    <mergeCell ref="O15:P15"/>
    <mergeCell ref="R15:V15"/>
    <mergeCell ref="W15:X15"/>
    <mergeCell ref="Z15:AD15"/>
    <mergeCell ref="AE15:AF15"/>
    <mergeCell ref="A12:B12"/>
    <mergeCell ref="A13:B13"/>
    <mergeCell ref="B15:F15"/>
    <mergeCell ref="G15:H15"/>
    <mergeCell ref="J15:N15"/>
    <mergeCell ref="B21:H21"/>
    <mergeCell ref="J21:P21"/>
    <mergeCell ref="R21:X21"/>
    <mergeCell ref="AH21:AN21"/>
    <mergeCell ref="AP21:AV21"/>
    <mergeCell ref="AM34:AN34"/>
    <mergeCell ref="AP34:AT34"/>
    <mergeCell ref="AU34:AV34"/>
    <mergeCell ref="Z21:AF21"/>
    <mergeCell ref="O34:P34"/>
    <mergeCell ref="R34:V34"/>
    <mergeCell ref="W34:X34"/>
    <mergeCell ref="Z34:AD34"/>
    <mergeCell ref="AE34:AF34"/>
    <mergeCell ref="B1:AV1"/>
    <mergeCell ref="B2:H2"/>
    <mergeCell ref="J2:P2"/>
    <mergeCell ref="R2:X2"/>
    <mergeCell ref="Z2:AF2"/>
    <mergeCell ref="AH2:AN2"/>
    <mergeCell ref="AP2:AV2"/>
  </mergeCells>
  <dataValidations count="26">
    <dataValidation allowBlank="1" showInputMessage="1" showErrorMessage="1" prompt="Calendar days for this month are automatically updated in cells Z22 through AF27" sqref="AQ22" xr:uid="{5C3553FB-F6FE-4607-92A5-4825B7B12D67}"/>
    <dataValidation allowBlank="1" showInputMessage="1" showErrorMessage="1" prompt="Calendar days for this month are automatically updated in cells Z13 through AF18" sqref="AI22:AJ22" xr:uid="{B4FB728B-192B-4436-98CB-25D37358C1F1}"/>
    <dataValidation allowBlank="1" showInputMessage="1" showErrorMessage="1" prompt="Calendar days for this month are automatically updated in cells Z4 through AF9" sqref="AA22" xr:uid="{D5DE1AA7-3DD1-4121-8DC0-78C5B1F34A80}"/>
    <dataValidation allowBlank="1" showInputMessage="1" showErrorMessage="1" prompt="Calendar days for this month are automatically updated in cells R22 through X27" sqref="S22" xr:uid="{BFC341AD-4CF2-4EA1-91D7-5BD2739DA219}"/>
    <dataValidation allowBlank="1" showInputMessage="1" showErrorMessage="1" prompt="Calendar days for this month are automatically updated in cells R13 through X18" sqref="K22" xr:uid="{7F092792-93F1-471E-834F-25ECFD726F71}"/>
    <dataValidation allowBlank="1" showInputMessage="1" showErrorMessage="1" prompt="Calendar days for this month are automatically updated in cells R4 through X9" sqref="C22" xr:uid="{5A86ECFE-FA97-4316-9797-BE6EF0B640AE}"/>
    <dataValidation allowBlank="1" showInputMessage="1" showErrorMessage="1" prompt="Calendar Month is in this cell. Calendar for this month is automatically updated in cells R3 through X9" sqref="B21:H21" xr:uid="{CFFDD8B8-B71F-4799-96E6-CDC1094515B5}"/>
    <dataValidation allowBlank="1" showInputMessage="1" showErrorMessage="1" prompt="Calendar Month is in this cell. Calendar for this month is automatically updated in cells Z3 through AF9" sqref="Z21:AF21" xr:uid="{240114C9-CFD6-4304-8EBB-7F0D94359765}"/>
    <dataValidation allowBlank="1" showInputMessage="1" showErrorMessage="1" prompt="Calendar Month is in this cell. Calendar for this month is automatically updated in cells R12 through X18" sqref="J21:P21" xr:uid="{D2D5F0D9-3CAA-4DE2-8B40-E668A5671CB3}"/>
    <dataValidation allowBlank="1" showInputMessage="1" showErrorMessage="1" prompt="Calendar Month is in this cell. Calendar for this month is automatically updated in cells Z12 through AF18" sqref="AH21:AN21" xr:uid="{FFBBC1FD-AD4C-4653-9EC2-D77F460DA4ED}"/>
    <dataValidation allowBlank="1" showInputMessage="1" showErrorMessage="1" prompt="Calendar Month is in this cell. Calendar for this month is automatically updated in cells R21 through X27" sqref="R21:X21" xr:uid="{D0003442-7BCB-4BB0-9302-348B8702C970}"/>
    <dataValidation allowBlank="1" showInputMessage="1" showErrorMessage="1" prompt="Calendar Month is in this cell. Calendar for this month is automatically updated in cells Z21 through AF27" sqref="AP21:AV21" xr:uid="{E70E6BE5-5EC8-43C0-B602-DB61DBA42FED}"/>
    <dataValidation allowBlank="1" showInputMessage="1" showErrorMessage="1" prompt="Calendar days for this month are automatically updated in cells J22 through P27" sqref="AQ3" xr:uid="{479D418B-FEAD-426E-8FD4-B4ABA2088515}"/>
    <dataValidation allowBlank="1" showInputMessage="1" showErrorMessage="1" prompt="Calendar days for this month are automatically updated in cells J13 through P18" sqref="AI3" xr:uid="{572AC51E-CF9C-481E-97ED-7E9105A67A5A}"/>
    <dataValidation allowBlank="1" showInputMessage="1" showErrorMessage="1" prompt="Calendar days for this month are automatically updated in cells J4 through P9" sqref="AA3" xr:uid="{D7E543E5-0F6A-4958-BF83-EAEF052C4B8A}"/>
    <dataValidation allowBlank="1" showInputMessage="1" showErrorMessage="1" prompt="Calendar days for this month are automatically updated in cells B22 through H27" sqref="S3:T3" xr:uid="{70CC827A-7CE1-4B0D-8686-138B460AF6C3}"/>
    <dataValidation allowBlank="1" showInputMessage="1" showErrorMessage="1" prompt="Calendar days for this month are automatically updated in cells B13 through H18" sqref="K3:L3" xr:uid="{9326F25E-15F0-4D17-B78E-B23F3018AAD9}"/>
    <dataValidation allowBlank="1" showInputMessage="1" showErrorMessage="1" prompt="Calendar days for this month are automatically updated in cells B4 through H9" sqref="C3" xr:uid="{95ADAC49-5002-444D-8B19-AB24B99D6AC4}"/>
    <dataValidation allowBlank="1" showInputMessage="1" showErrorMessage="1" prompt="Enter Year in this cell to automatically update calendar for each month in cells B2 through AF27" sqref="B1" xr:uid="{29440F08-6EEB-41B3-A256-6F1B341FA220}"/>
    <dataValidation allowBlank="1" showInputMessage="1" showErrorMessage="1" prompt="Create a calendar for any year using this Calendar Creator worksheet. Enter Year in cell at right to automatically update calendar for each month" sqref="A1" xr:uid="{1775AB9A-0C46-49BF-B893-5D49CA67A383}"/>
    <dataValidation allowBlank="1" showInputMessage="1" showErrorMessage="1" prompt="Calendar Month is in this cell. Calendar for this month is automatically updated in cells B3 through H9" sqref="B2:H2" xr:uid="{AF32F53D-3874-492F-BD2C-EFEB2A99049A}"/>
    <dataValidation allowBlank="1" showInputMessage="1" showErrorMessage="1" prompt="Calendar Month is in this cell. Calendar for this month is automatically updated in cells J3 through P9" sqref="Z2:AF2" xr:uid="{AA5E03E1-E193-46D1-9BD3-4D166CEC4489}"/>
    <dataValidation allowBlank="1" showInputMessage="1" showErrorMessage="1" prompt="Calendar Month is in this cell. Calendar for this month is automatically updated in cells B12 through H18" sqref="J2:P2" xr:uid="{451B96BE-97BF-4FF3-800B-7A4AA8F952D7}"/>
    <dataValidation allowBlank="1" showInputMessage="1" showErrorMessage="1" prompt="Calendar Month is in this cell. Calendar for this month is automatically updated in cells B21 through H27" sqref="R2:X2" xr:uid="{A155942C-E9FA-4040-94B0-C31C91034CC7}"/>
    <dataValidation allowBlank="1" showInputMessage="1" showErrorMessage="1" prompt="Calendar Month is in this cell. Calendar for this month is automatically updated in cells J12 through P18" sqref="AH2:AO2 AW2:BA2" xr:uid="{43950E39-CB4B-49FD-B249-ED9B2F960FE3}"/>
    <dataValidation allowBlank="1" showInputMessage="1" showErrorMessage="1" prompt="Calendar Month is in this cell. Calendar for this month is automatically updated in cells J21 through P27" sqref="AP2:AV2" xr:uid="{EE740EBB-53DF-460F-8B5C-B2DB7BBD170F}"/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1000"/>
  <sheetViews>
    <sheetView showGridLines="0" workbookViewId="0">
      <selection activeCell="R18" sqref="R18:S18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6" width="4.7109375" customWidth="1"/>
  </cols>
  <sheetData>
    <row r="1" spans="1:36" ht="12.75" customHeight="1" x14ac:dyDescent="0.25">
      <c r="A1" s="17"/>
      <c r="B1" s="17"/>
      <c r="C1" s="17"/>
      <c r="D1" s="17"/>
      <c r="E1" s="17"/>
      <c r="F1" s="17"/>
      <c r="G1" s="17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87"/>
      <c r="AG1" s="87"/>
      <c r="AH1" s="17"/>
      <c r="AI1" s="17"/>
      <c r="AJ1" s="17"/>
    </row>
    <row r="2" spans="1:36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17"/>
      <c r="H2" s="17"/>
      <c r="I2" s="17"/>
      <c r="J2" s="8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87"/>
      <c r="AG2" s="87"/>
      <c r="AH2" s="17"/>
      <c r="AI2" s="17"/>
      <c r="AJ2" s="17"/>
    </row>
    <row r="3" spans="1:36" ht="12.75" customHeight="1" x14ac:dyDescent="0.25">
      <c r="A3" s="195" t="s">
        <v>82</v>
      </c>
      <c r="B3" s="196"/>
      <c r="C3" s="196"/>
      <c r="D3" s="196"/>
      <c r="E3" s="17"/>
      <c r="F3" s="17"/>
      <c r="G3" s="17"/>
      <c r="H3" s="17"/>
      <c r="I3" s="17"/>
      <c r="J3" s="8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87"/>
      <c r="AG3" s="87"/>
      <c r="AH3" s="17"/>
      <c r="AI3" s="17"/>
      <c r="AJ3" s="17"/>
    </row>
    <row r="4" spans="1:36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8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87"/>
      <c r="AG4" s="87"/>
      <c r="AH4" s="17"/>
      <c r="AI4" s="17"/>
      <c r="AJ4" s="17"/>
    </row>
    <row r="5" spans="1:36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44"/>
      <c r="AJ5" s="197" t="s">
        <v>86</v>
      </c>
    </row>
    <row r="6" spans="1:36" ht="16.5" customHeight="1" x14ac:dyDescent="0.25">
      <c r="A6" s="206"/>
      <c r="B6" s="211"/>
      <c r="C6" s="196"/>
      <c r="D6" s="212"/>
      <c r="E6" s="104">
        <f>+July!AI6+1</f>
        <v>46235</v>
      </c>
      <c r="F6" s="103">
        <f>+E6+1</f>
        <v>46236</v>
      </c>
      <c r="G6" s="103">
        <f t="shared" ref="G6:AI6" si="0">+F6+1</f>
        <v>46237</v>
      </c>
      <c r="H6" s="103">
        <f t="shared" si="0"/>
        <v>46238</v>
      </c>
      <c r="I6" s="103">
        <f t="shared" si="0"/>
        <v>46239</v>
      </c>
      <c r="J6" s="103">
        <f t="shared" si="0"/>
        <v>46240</v>
      </c>
      <c r="K6" s="103">
        <f t="shared" si="0"/>
        <v>46241</v>
      </c>
      <c r="L6" s="103">
        <f t="shared" si="0"/>
        <v>46242</v>
      </c>
      <c r="M6" s="103">
        <f t="shared" si="0"/>
        <v>46243</v>
      </c>
      <c r="N6" s="103">
        <f t="shared" si="0"/>
        <v>46244</v>
      </c>
      <c r="O6" s="103">
        <f t="shared" si="0"/>
        <v>46245</v>
      </c>
      <c r="P6" s="103">
        <f t="shared" si="0"/>
        <v>46246</v>
      </c>
      <c r="Q6" s="103">
        <f t="shared" si="0"/>
        <v>46247</v>
      </c>
      <c r="R6" s="103">
        <f t="shared" si="0"/>
        <v>46248</v>
      </c>
      <c r="S6" s="103">
        <f t="shared" si="0"/>
        <v>46249</v>
      </c>
      <c r="T6" s="103">
        <f t="shared" si="0"/>
        <v>46250</v>
      </c>
      <c r="U6" s="103">
        <f t="shared" si="0"/>
        <v>46251</v>
      </c>
      <c r="V6" s="103">
        <f t="shared" si="0"/>
        <v>46252</v>
      </c>
      <c r="W6" s="103">
        <f t="shared" si="0"/>
        <v>46253</v>
      </c>
      <c r="X6" s="103">
        <f t="shared" si="0"/>
        <v>46254</v>
      </c>
      <c r="Y6" s="103">
        <f t="shared" si="0"/>
        <v>46255</v>
      </c>
      <c r="Z6" s="103">
        <f t="shared" si="0"/>
        <v>46256</v>
      </c>
      <c r="AA6" s="103">
        <f t="shared" si="0"/>
        <v>46257</v>
      </c>
      <c r="AB6" s="103">
        <f t="shared" si="0"/>
        <v>46258</v>
      </c>
      <c r="AC6" s="103">
        <f t="shared" si="0"/>
        <v>46259</v>
      </c>
      <c r="AD6" s="103">
        <f t="shared" si="0"/>
        <v>46260</v>
      </c>
      <c r="AE6" s="103">
        <f t="shared" si="0"/>
        <v>46261</v>
      </c>
      <c r="AF6" s="103">
        <f t="shared" si="0"/>
        <v>46262</v>
      </c>
      <c r="AG6" s="103">
        <f t="shared" si="0"/>
        <v>46263</v>
      </c>
      <c r="AH6" s="103">
        <f t="shared" si="0"/>
        <v>46264</v>
      </c>
      <c r="AI6" s="103">
        <f t="shared" si="0"/>
        <v>46265</v>
      </c>
      <c r="AJ6" s="198"/>
    </row>
    <row r="7" spans="1:36" ht="16.5" customHeight="1" x14ac:dyDescent="0.25">
      <c r="A7" s="207"/>
      <c r="B7" s="213"/>
      <c r="C7" s="214"/>
      <c r="D7" s="215"/>
      <c r="E7" s="67" t="s">
        <v>130</v>
      </c>
      <c r="F7" s="19" t="str">
        <f t="shared" ref="F7:AI7" si="1">IF(E7="Mon","Tue",IF(E7="Tue","Wed",IF(E7="Wed","Thu",IF(E7="Thu","Fri",IF(E7="Fri","Sat",IF(E7="Sat","Sun",IF(E7="Sun","Mon")))))))</f>
        <v>Sun</v>
      </c>
      <c r="G7" s="19" t="str">
        <f t="shared" si="1"/>
        <v>Mon</v>
      </c>
      <c r="H7" s="19" t="str">
        <f t="shared" si="1"/>
        <v>Tue</v>
      </c>
      <c r="I7" s="126" t="str">
        <f t="shared" si="1"/>
        <v>Wed</v>
      </c>
      <c r="J7" s="19" t="str">
        <f t="shared" si="1"/>
        <v>Thu</v>
      </c>
      <c r="K7" s="19" t="str">
        <f t="shared" si="1"/>
        <v>Fri</v>
      </c>
      <c r="L7" s="19" t="str">
        <f t="shared" si="1"/>
        <v>Sat</v>
      </c>
      <c r="M7" s="19" t="str">
        <f t="shared" si="1"/>
        <v>Sun</v>
      </c>
      <c r="N7" s="19" t="str">
        <f t="shared" si="1"/>
        <v>Mon</v>
      </c>
      <c r="O7" s="19" t="str">
        <f t="shared" si="1"/>
        <v>Tue</v>
      </c>
      <c r="P7" s="19" t="str">
        <f t="shared" si="1"/>
        <v>Wed</v>
      </c>
      <c r="Q7" s="19" t="str">
        <f t="shared" si="1"/>
        <v>Thu</v>
      </c>
      <c r="R7" s="19" t="str">
        <f t="shared" si="1"/>
        <v>Fri</v>
      </c>
      <c r="S7" s="18" t="str">
        <f t="shared" si="1"/>
        <v>Sat</v>
      </c>
      <c r="T7" s="19" t="str">
        <f t="shared" si="1"/>
        <v>Sun</v>
      </c>
      <c r="U7" s="19" t="str">
        <f t="shared" si="1"/>
        <v>Mon</v>
      </c>
      <c r="V7" s="19" t="str">
        <f t="shared" si="1"/>
        <v>Tue</v>
      </c>
      <c r="W7" s="19" t="str">
        <f t="shared" si="1"/>
        <v>Wed</v>
      </c>
      <c r="X7" s="19" t="str">
        <f t="shared" si="1"/>
        <v>Thu</v>
      </c>
      <c r="Y7" s="19" t="str">
        <f t="shared" si="1"/>
        <v>Fri</v>
      </c>
      <c r="Z7" s="19" t="str">
        <f t="shared" si="1"/>
        <v>Sat</v>
      </c>
      <c r="AA7" s="19" t="str">
        <f t="shared" si="1"/>
        <v>Sun</v>
      </c>
      <c r="AB7" s="19" t="str">
        <f t="shared" si="1"/>
        <v>Mon</v>
      </c>
      <c r="AC7" s="19" t="str">
        <f t="shared" si="1"/>
        <v>Tue</v>
      </c>
      <c r="AD7" s="19" t="str">
        <f t="shared" si="1"/>
        <v>Wed</v>
      </c>
      <c r="AE7" s="19" t="str">
        <f t="shared" si="1"/>
        <v>Thu</v>
      </c>
      <c r="AF7" s="19" t="str">
        <f t="shared" si="1"/>
        <v>Fri</v>
      </c>
      <c r="AG7" s="19" t="str">
        <f t="shared" si="1"/>
        <v>Sat</v>
      </c>
      <c r="AH7" s="19" t="str">
        <f t="shared" si="1"/>
        <v>Sun</v>
      </c>
      <c r="AI7" s="19" t="str">
        <f t="shared" si="1"/>
        <v>Mon</v>
      </c>
      <c r="AJ7" s="199"/>
    </row>
    <row r="8" spans="1:36" ht="21" customHeight="1" x14ac:dyDescent="0.25">
      <c r="A8" s="20" t="s">
        <v>30</v>
      </c>
      <c r="B8" s="183" t="s">
        <v>90</v>
      </c>
      <c r="C8" s="184"/>
      <c r="D8" s="185"/>
      <c r="E8" s="37"/>
      <c r="F8" s="37"/>
      <c r="G8" s="37"/>
      <c r="H8" s="37"/>
      <c r="I8" s="126"/>
      <c r="J8" s="37"/>
      <c r="K8" s="37"/>
      <c r="L8" s="37"/>
      <c r="M8" s="37"/>
      <c r="N8" s="37"/>
      <c r="O8" s="37"/>
      <c r="P8" s="37"/>
      <c r="Q8" s="37"/>
      <c r="R8" s="37"/>
      <c r="S8" s="18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21" t="s">
        <v>31</v>
      </c>
    </row>
    <row r="9" spans="1:36" ht="21" customHeight="1" x14ac:dyDescent="0.25">
      <c r="A9" s="20" t="s">
        <v>32</v>
      </c>
      <c r="B9" s="183" t="s">
        <v>91</v>
      </c>
      <c r="C9" s="184"/>
      <c r="D9" s="185"/>
      <c r="E9" s="37"/>
      <c r="F9" s="37"/>
      <c r="G9" s="37"/>
      <c r="H9" s="37"/>
      <c r="I9" s="126"/>
      <c r="J9" s="37"/>
      <c r="K9" s="37"/>
      <c r="L9" s="37"/>
      <c r="M9" s="37"/>
      <c r="N9" s="37"/>
      <c r="O9" s="37"/>
      <c r="P9" s="37"/>
      <c r="Q9" s="37"/>
      <c r="R9" s="37"/>
      <c r="S9" s="18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21" t="s">
        <v>31</v>
      </c>
    </row>
    <row r="10" spans="1:36" ht="21" customHeight="1" x14ac:dyDescent="0.25">
      <c r="A10" s="186" t="s">
        <v>33</v>
      </c>
      <c r="B10" s="238" t="s">
        <v>93</v>
      </c>
      <c r="C10" s="239"/>
      <c r="D10" s="19" t="s">
        <v>88</v>
      </c>
      <c r="E10" s="37"/>
      <c r="F10" s="19"/>
      <c r="G10" s="19"/>
      <c r="H10" s="19"/>
      <c r="I10" s="126"/>
      <c r="J10" s="37"/>
      <c r="K10" s="19"/>
      <c r="L10" s="19"/>
      <c r="M10" s="19"/>
      <c r="N10" s="19"/>
      <c r="O10" s="19"/>
      <c r="P10" s="19"/>
      <c r="Q10" s="19"/>
      <c r="R10" s="19"/>
      <c r="S10" s="18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7"/>
      <c r="AE10" s="37"/>
      <c r="AF10" s="37"/>
      <c r="AG10" s="46"/>
      <c r="AH10" s="79"/>
      <c r="AI10" s="79"/>
      <c r="AJ10" s="21" t="s">
        <v>31</v>
      </c>
    </row>
    <row r="11" spans="1:36" ht="21" customHeight="1" x14ac:dyDescent="0.25">
      <c r="A11" s="187"/>
      <c r="B11" s="240"/>
      <c r="C11" s="241"/>
      <c r="D11" s="22" t="s">
        <v>89</v>
      </c>
      <c r="E11" s="39"/>
      <c r="F11" s="22"/>
      <c r="G11" s="22"/>
      <c r="H11" s="22"/>
      <c r="I11" s="129"/>
      <c r="J11" s="39"/>
      <c r="K11" s="22"/>
      <c r="L11" s="22"/>
      <c r="M11" s="22"/>
      <c r="N11" s="22"/>
      <c r="O11" s="22"/>
      <c r="P11" s="22"/>
      <c r="Q11" s="22"/>
      <c r="R11" s="22"/>
      <c r="S11" s="23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39"/>
      <c r="AE11" s="39"/>
      <c r="AF11" s="39"/>
      <c r="AG11" s="47"/>
      <c r="AH11" s="80"/>
      <c r="AI11" s="80"/>
      <c r="AJ11" s="24" t="s">
        <v>31</v>
      </c>
    </row>
    <row r="12" spans="1:36" ht="21" customHeight="1" thickTop="1" thickBot="1" x14ac:dyDescent="0.3">
      <c r="A12" s="25" t="s">
        <v>34</v>
      </c>
      <c r="B12" s="192" t="s">
        <v>94</v>
      </c>
      <c r="C12" s="193"/>
      <c r="D12" s="194"/>
      <c r="E12" s="41">
        <f t="shared" ref="E12:U12" si="2">E9-E8</f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  <c r="I12" s="76">
        <f t="shared" si="2"/>
        <v>0</v>
      </c>
      <c r="J12" s="27">
        <f t="shared" si="2"/>
        <v>0</v>
      </c>
      <c r="K12" s="27">
        <f t="shared" si="2"/>
        <v>0</v>
      </c>
      <c r="L12" s="27">
        <f t="shared" si="2"/>
        <v>0</v>
      </c>
      <c r="M12" s="27">
        <f t="shared" si="2"/>
        <v>0</v>
      </c>
      <c r="N12" s="27">
        <f t="shared" si="2"/>
        <v>0</v>
      </c>
      <c r="O12" s="27">
        <f t="shared" si="2"/>
        <v>0</v>
      </c>
      <c r="P12" s="27">
        <f t="shared" si="2"/>
        <v>0</v>
      </c>
      <c r="Q12" s="27">
        <f t="shared" si="2"/>
        <v>0</v>
      </c>
      <c r="R12" s="27">
        <f t="shared" si="2"/>
        <v>0</v>
      </c>
      <c r="S12" s="76">
        <f t="shared" si="2"/>
        <v>0</v>
      </c>
      <c r="T12" s="27">
        <f t="shared" si="2"/>
        <v>0</v>
      </c>
      <c r="U12" s="27">
        <f t="shared" si="2"/>
        <v>0</v>
      </c>
      <c r="V12" s="27">
        <f t="shared" ref="V12:AI12" si="3">V9-V8</f>
        <v>0</v>
      </c>
      <c r="W12" s="27">
        <f t="shared" si="3"/>
        <v>0</v>
      </c>
      <c r="X12" s="27">
        <f t="shared" si="3"/>
        <v>0</v>
      </c>
      <c r="Y12" s="27">
        <f t="shared" si="3"/>
        <v>0</v>
      </c>
      <c r="Z12" s="27">
        <f t="shared" si="3"/>
        <v>0</v>
      </c>
      <c r="AA12" s="27">
        <f t="shared" si="3"/>
        <v>0</v>
      </c>
      <c r="AB12" s="27">
        <f t="shared" si="3"/>
        <v>0</v>
      </c>
      <c r="AC12" s="27">
        <f t="shared" si="3"/>
        <v>0</v>
      </c>
      <c r="AD12" s="41">
        <f t="shared" si="3"/>
        <v>0</v>
      </c>
      <c r="AE12" s="41">
        <f t="shared" si="3"/>
        <v>0</v>
      </c>
      <c r="AF12" s="41">
        <f t="shared" si="3"/>
        <v>0</v>
      </c>
      <c r="AG12" s="41">
        <f t="shared" si="3"/>
        <v>0</v>
      </c>
      <c r="AH12" s="41">
        <f t="shared" si="3"/>
        <v>0</v>
      </c>
      <c r="AI12" s="41">
        <f t="shared" si="3"/>
        <v>0</v>
      </c>
      <c r="AJ12" s="82">
        <f t="shared" ref="AJ12:AJ40" si="4">SUM(E12:AI12)</f>
        <v>0</v>
      </c>
    </row>
    <row r="13" spans="1:36" ht="21" customHeight="1" thickTop="1" x14ac:dyDescent="0.25">
      <c r="A13" s="28" t="s">
        <v>35</v>
      </c>
      <c r="B13" s="216" t="s">
        <v>80</v>
      </c>
      <c r="C13" s="231"/>
      <c r="D13" s="217"/>
      <c r="E13" s="30"/>
      <c r="F13" s="30"/>
      <c r="G13" s="30"/>
      <c r="H13" s="30"/>
      <c r="I13" s="125"/>
      <c r="J13" s="30"/>
      <c r="K13" s="30"/>
      <c r="L13" s="30"/>
      <c r="M13" s="30"/>
      <c r="N13" s="30"/>
      <c r="O13" s="30"/>
      <c r="P13" s="30"/>
      <c r="Q13" s="30"/>
      <c r="R13" s="30"/>
      <c r="S13" s="125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83"/>
      <c r="AH13" s="83"/>
      <c r="AI13" s="83"/>
      <c r="AJ13" s="84">
        <f t="shared" si="4"/>
        <v>0</v>
      </c>
    </row>
    <row r="14" spans="1:36" ht="21" customHeight="1" x14ac:dyDescent="0.25">
      <c r="A14" s="20" t="s">
        <v>36</v>
      </c>
      <c r="B14" s="183" t="s">
        <v>95</v>
      </c>
      <c r="C14" s="184"/>
      <c r="D14" s="185"/>
      <c r="E14" s="19"/>
      <c r="F14" s="19"/>
      <c r="G14" s="19"/>
      <c r="H14" s="19"/>
      <c r="I14" s="123"/>
      <c r="J14" s="19"/>
      <c r="K14" s="19"/>
      <c r="L14" s="19"/>
      <c r="M14" s="19"/>
      <c r="N14" s="19"/>
      <c r="O14" s="19"/>
      <c r="P14" s="19"/>
      <c r="Q14" s="19"/>
      <c r="R14" s="19"/>
      <c r="S14" s="123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79"/>
      <c r="AH14" s="79"/>
      <c r="AI14" s="79"/>
      <c r="AJ14" s="21">
        <f t="shared" si="4"/>
        <v>0</v>
      </c>
    </row>
    <row r="15" spans="1:36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19"/>
      <c r="F15" s="19"/>
      <c r="G15" s="19"/>
      <c r="H15" s="19"/>
      <c r="I15" s="123"/>
      <c r="J15" s="19"/>
      <c r="K15" s="19"/>
      <c r="L15" s="19"/>
      <c r="M15" s="19"/>
      <c r="N15" s="19"/>
      <c r="O15" s="19"/>
      <c r="P15" s="19"/>
      <c r="Q15" s="19"/>
      <c r="R15" s="19"/>
      <c r="S15" s="123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79"/>
      <c r="AH15" s="79"/>
      <c r="AI15" s="79"/>
      <c r="AJ15" s="21">
        <f t="shared" si="4"/>
        <v>0</v>
      </c>
    </row>
    <row r="16" spans="1:36" ht="21" customHeight="1" x14ac:dyDescent="0.25">
      <c r="A16" s="20"/>
      <c r="B16" s="220"/>
      <c r="C16" s="220"/>
      <c r="D16" s="140" t="s">
        <v>97</v>
      </c>
      <c r="E16" s="19"/>
      <c r="F16" s="19"/>
      <c r="G16" s="19"/>
      <c r="H16" s="19"/>
      <c r="I16" s="123"/>
      <c r="J16" s="19"/>
      <c r="K16" s="19"/>
      <c r="L16" s="19"/>
      <c r="M16" s="19"/>
      <c r="N16" s="19"/>
      <c r="O16" s="19"/>
      <c r="P16" s="19"/>
      <c r="Q16" s="19"/>
      <c r="R16" s="19"/>
      <c r="S16" s="123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79"/>
      <c r="AH16" s="79"/>
      <c r="AI16" s="79"/>
      <c r="AJ16" s="21">
        <f t="shared" si="4"/>
        <v>0</v>
      </c>
    </row>
    <row r="17" spans="1:36" ht="21" customHeight="1" x14ac:dyDescent="0.25">
      <c r="A17" s="20"/>
      <c r="B17" s="220"/>
      <c r="C17" s="232"/>
      <c r="D17" s="140" t="s">
        <v>98</v>
      </c>
      <c r="E17" s="19"/>
      <c r="F17" s="19"/>
      <c r="G17" s="19"/>
      <c r="H17" s="19"/>
      <c r="I17" s="123"/>
      <c r="J17" s="19"/>
      <c r="K17" s="19"/>
      <c r="L17" s="19"/>
      <c r="M17" s="19"/>
      <c r="N17" s="19"/>
      <c r="O17" s="19"/>
      <c r="P17" s="19"/>
      <c r="Q17" s="19"/>
      <c r="R17" s="19"/>
      <c r="S17" s="123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79"/>
      <c r="AH17" s="79"/>
      <c r="AI17" s="79"/>
      <c r="AJ17" s="21">
        <f t="shared" si="4"/>
        <v>0</v>
      </c>
    </row>
    <row r="18" spans="1:36" ht="21" customHeight="1" x14ac:dyDescent="0.25">
      <c r="A18" s="20"/>
      <c r="B18" s="220"/>
      <c r="C18" s="183" t="s">
        <v>100</v>
      </c>
      <c r="D18" s="185"/>
      <c r="E18" s="19"/>
      <c r="F18" s="19"/>
      <c r="G18" s="19"/>
      <c r="H18" s="19"/>
      <c r="I18" s="123">
        <v>8</v>
      </c>
      <c r="J18" s="19"/>
      <c r="K18" s="19"/>
      <c r="L18" s="19"/>
      <c r="M18" s="19"/>
      <c r="N18" s="19"/>
      <c r="O18" s="19"/>
      <c r="P18" s="19"/>
      <c r="Q18" s="19"/>
      <c r="R18" s="19"/>
      <c r="S18" s="123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79"/>
      <c r="AH18" s="79"/>
      <c r="AI18" s="79"/>
      <c r="AJ18" s="21">
        <f t="shared" si="4"/>
        <v>8</v>
      </c>
    </row>
    <row r="19" spans="1:36" ht="30" customHeight="1" x14ac:dyDescent="0.25">
      <c r="A19" s="20"/>
      <c r="B19" s="220"/>
      <c r="C19" s="224" t="s">
        <v>105</v>
      </c>
      <c r="D19" s="185"/>
      <c r="E19" s="19"/>
      <c r="F19" s="19"/>
      <c r="G19" s="19"/>
      <c r="H19" s="19"/>
      <c r="I19" s="123"/>
      <c r="J19" s="19"/>
      <c r="K19" s="19"/>
      <c r="L19" s="19"/>
      <c r="M19" s="19"/>
      <c r="N19" s="19"/>
      <c r="O19" s="19"/>
      <c r="P19" s="19"/>
      <c r="Q19" s="19"/>
      <c r="R19" s="19"/>
      <c r="S19" s="123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79"/>
      <c r="AH19" s="79"/>
      <c r="AI19" s="79"/>
      <c r="AJ19" s="21">
        <f t="shared" si="4"/>
        <v>0</v>
      </c>
    </row>
    <row r="20" spans="1:36" ht="21" customHeight="1" x14ac:dyDescent="0.25">
      <c r="A20" s="20"/>
      <c r="B20" s="220"/>
      <c r="C20" s="183" t="s">
        <v>106</v>
      </c>
      <c r="D20" s="185"/>
      <c r="E20" s="19"/>
      <c r="F20" s="19"/>
      <c r="G20" s="19"/>
      <c r="H20" s="19"/>
      <c r="I20" s="123"/>
      <c r="J20" s="19"/>
      <c r="K20" s="19"/>
      <c r="L20" s="19"/>
      <c r="M20" s="19"/>
      <c r="N20" s="19"/>
      <c r="O20" s="19"/>
      <c r="P20" s="19"/>
      <c r="Q20" s="19"/>
      <c r="R20" s="19"/>
      <c r="S20" s="123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79"/>
      <c r="AH20" s="79"/>
      <c r="AI20" s="79"/>
      <c r="AJ20" s="21">
        <f t="shared" si="4"/>
        <v>0</v>
      </c>
    </row>
    <row r="21" spans="1:36" ht="21" customHeight="1" x14ac:dyDescent="0.25">
      <c r="A21" s="20"/>
      <c r="B21" s="220"/>
      <c r="C21" s="183" t="s">
        <v>107</v>
      </c>
      <c r="D21" s="185"/>
      <c r="E21" s="19"/>
      <c r="F21" s="19"/>
      <c r="G21" s="19"/>
      <c r="H21" s="19"/>
      <c r="I21" s="123"/>
      <c r="J21" s="19"/>
      <c r="K21" s="19"/>
      <c r="L21" s="19"/>
      <c r="M21" s="19"/>
      <c r="N21" s="19"/>
      <c r="O21" s="19"/>
      <c r="P21" s="19"/>
      <c r="Q21" s="19"/>
      <c r="R21" s="19"/>
      <c r="S21" s="123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79"/>
      <c r="AH21" s="79"/>
      <c r="AI21" s="79"/>
      <c r="AJ21" s="21">
        <f t="shared" si="4"/>
        <v>0</v>
      </c>
    </row>
    <row r="22" spans="1:36" ht="21" customHeight="1" x14ac:dyDescent="0.25">
      <c r="A22" s="20"/>
      <c r="B22" s="220"/>
      <c r="C22" s="183" t="s">
        <v>108</v>
      </c>
      <c r="D22" s="185"/>
      <c r="E22" s="19"/>
      <c r="F22" s="19"/>
      <c r="G22" s="19"/>
      <c r="H22" s="19"/>
      <c r="I22" s="123"/>
      <c r="J22" s="19"/>
      <c r="K22" s="19"/>
      <c r="L22" s="19"/>
      <c r="M22" s="19"/>
      <c r="N22" s="19"/>
      <c r="O22" s="19"/>
      <c r="P22" s="19"/>
      <c r="Q22" s="19"/>
      <c r="R22" s="19"/>
      <c r="S22" s="123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79"/>
      <c r="AH22" s="79"/>
      <c r="AI22" s="79"/>
      <c r="AJ22" s="21">
        <f t="shared" si="4"/>
        <v>0</v>
      </c>
    </row>
    <row r="23" spans="1:36" ht="21" customHeight="1" x14ac:dyDescent="0.25">
      <c r="A23" s="20"/>
      <c r="B23" s="220"/>
      <c r="C23" s="229" t="s">
        <v>122</v>
      </c>
      <c r="D23" s="230"/>
      <c r="E23" s="19"/>
      <c r="F23" s="19"/>
      <c r="G23" s="19"/>
      <c r="H23" s="19"/>
      <c r="I23" s="123"/>
      <c r="J23" s="19"/>
      <c r="K23" s="19"/>
      <c r="L23" s="19"/>
      <c r="M23" s="19"/>
      <c r="N23" s="19"/>
      <c r="O23" s="19"/>
      <c r="P23" s="19"/>
      <c r="Q23" s="19"/>
      <c r="R23" s="19"/>
      <c r="S23" s="123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79"/>
      <c r="AH23" s="79"/>
      <c r="AI23" s="79"/>
      <c r="AJ23" s="21">
        <f t="shared" si="4"/>
        <v>0</v>
      </c>
    </row>
    <row r="24" spans="1:36" ht="21" customHeight="1" x14ac:dyDescent="0.25">
      <c r="A24" s="20"/>
      <c r="B24" s="220"/>
      <c r="C24" s="183" t="s">
        <v>113</v>
      </c>
      <c r="D24" s="185"/>
      <c r="E24" s="19"/>
      <c r="F24" s="19"/>
      <c r="G24" s="19"/>
      <c r="H24" s="19"/>
      <c r="I24" s="123"/>
      <c r="J24" s="19"/>
      <c r="K24" s="19"/>
      <c r="L24" s="19"/>
      <c r="M24" s="19"/>
      <c r="N24" s="19"/>
      <c r="O24" s="19"/>
      <c r="P24" s="19"/>
      <c r="Q24" s="19"/>
      <c r="R24" s="19"/>
      <c r="S24" s="123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79"/>
      <c r="AH24" s="79"/>
      <c r="AI24" s="79"/>
      <c r="AJ24" s="21">
        <f t="shared" si="4"/>
        <v>0</v>
      </c>
    </row>
    <row r="25" spans="1:36" ht="30" customHeight="1" x14ac:dyDescent="0.25">
      <c r="A25" s="20"/>
      <c r="B25" s="220"/>
      <c r="C25" s="224" t="s">
        <v>114</v>
      </c>
      <c r="D25" s="185"/>
      <c r="E25" s="19"/>
      <c r="F25" s="19"/>
      <c r="G25" s="19"/>
      <c r="H25" s="19"/>
      <c r="I25" s="123"/>
      <c r="J25" s="19"/>
      <c r="K25" s="19"/>
      <c r="L25" s="19"/>
      <c r="M25" s="19"/>
      <c r="N25" s="19"/>
      <c r="O25" s="19"/>
      <c r="P25" s="19"/>
      <c r="Q25" s="19"/>
      <c r="R25" s="19"/>
      <c r="S25" s="123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79"/>
      <c r="AH25" s="79"/>
      <c r="AI25" s="79"/>
      <c r="AJ25" s="21">
        <f t="shared" si="4"/>
        <v>0</v>
      </c>
    </row>
    <row r="26" spans="1:36" ht="21" customHeight="1" x14ac:dyDescent="0.25">
      <c r="A26" s="20"/>
      <c r="B26" s="220"/>
      <c r="C26" s="183" t="s">
        <v>115</v>
      </c>
      <c r="D26" s="185"/>
      <c r="E26" s="19"/>
      <c r="F26" s="19"/>
      <c r="G26" s="19"/>
      <c r="H26" s="19"/>
      <c r="I26" s="123"/>
      <c r="J26" s="19"/>
      <c r="K26" s="19"/>
      <c r="L26" s="19"/>
      <c r="M26" s="19"/>
      <c r="N26" s="19"/>
      <c r="O26" s="19"/>
      <c r="P26" s="19"/>
      <c r="Q26" s="19"/>
      <c r="R26" s="19"/>
      <c r="S26" s="123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79"/>
      <c r="AH26" s="79"/>
      <c r="AI26" s="79"/>
      <c r="AJ26" s="21">
        <f t="shared" si="4"/>
        <v>0</v>
      </c>
    </row>
    <row r="27" spans="1:36" ht="21" customHeight="1" x14ac:dyDescent="0.25">
      <c r="A27" s="20"/>
      <c r="B27" s="220"/>
      <c r="C27" s="183" t="s">
        <v>116</v>
      </c>
      <c r="D27" s="185"/>
      <c r="E27" s="19"/>
      <c r="F27" s="19"/>
      <c r="G27" s="19"/>
      <c r="H27" s="19"/>
      <c r="I27" s="123"/>
      <c r="J27" s="19"/>
      <c r="K27" s="19"/>
      <c r="L27" s="19"/>
      <c r="M27" s="19"/>
      <c r="N27" s="19"/>
      <c r="O27" s="19"/>
      <c r="P27" s="19"/>
      <c r="Q27" s="19"/>
      <c r="R27" s="19"/>
      <c r="S27" s="123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79"/>
      <c r="AH27" s="79"/>
      <c r="AI27" s="79"/>
      <c r="AJ27" s="21">
        <f t="shared" si="4"/>
        <v>0</v>
      </c>
    </row>
    <row r="28" spans="1:36" ht="21" customHeight="1" x14ac:dyDescent="0.25">
      <c r="A28" s="20"/>
      <c r="B28" s="220"/>
      <c r="C28" s="225" t="s">
        <v>121</v>
      </c>
      <c r="D28" s="226"/>
      <c r="E28" s="19"/>
      <c r="F28" s="19"/>
      <c r="G28" s="19"/>
      <c r="H28" s="19"/>
      <c r="I28" s="123"/>
      <c r="J28" s="19"/>
      <c r="K28" s="19"/>
      <c r="L28" s="19"/>
      <c r="M28" s="19"/>
      <c r="N28" s="19"/>
      <c r="O28" s="19"/>
      <c r="P28" s="19"/>
      <c r="Q28" s="19"/>
      <c r="R28" s="19"/>
      <c r="S28" s="123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79"/>
      <c r="AH28" s="79"/>
      <c r="AI28" s="79"/>
      <c r="AJ28" s="21">
        <f t="shared" si="4"/>
        <v>0</v>
      </c>
    </row>
    <row r="29" spans="1:36" ht="21" customHeight="1" x14ac:dyDescent="0.25">
      <c r="A29" s="20"/>
      <c r="B29" s="220"/>
      <c r="C29" s="183" t="s">
        <v>120</v>
      </c>
      <c r="D29" s="228"/>
      <c r="E29" s="19"/>
      <c r="F29" s="19"/>
      <c r="G29" s="19"/>
      <c r="H29" s="19"/>
      <c r="I29" s="123"/>
      <c r="J29" s="19"/>
      <c r="K29" s="19"/>
      <c r="L29" s="19"/>
      <c r="M29" s="19"/>
      <c r="N29" s="19"/>
      <c r="O29" s="19"/>
      <c r="P29" s="19"/>
      <c r="Q29" s="19"/>
      <c r="R29" s="19"/>
      <c r="S29" s="123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79"/>
      <c r="AH29" s="79"/>
      <c r="AI29" s="79"/>
      <c r="AJ29" s="21">
        <f t="shared" si="4"/>
        <v>0</v>
      </c>
    </row>
    <row r="30" spans="1:36" ht="21" customHeight="1" x14ac:dyDescent="0.25">
      <c r="A30" s="20"/>
      <c r="B30" s="220"/>
      <c r="C30" s="183" t="s">
        <v>117</v>
      </c>
      <c r="D30" s="185"/>
      <c r="E30" s="19"/>
      <c r="F30" s="19"/>
      <c r="G30" s="19"/>
      <c r="H30" s="19"/>
      <c r="I30" s="123"/>
      <c r="J30" s="19"/>
      <c r="K30" s="19"/>
      <c r="L30" s="19"/>
      <c r="M30" s="19"/>
      <c r="N30" s="19"/>
      <c r="O30" s="19"/>
      <c r="P30" s="19"/>
      <c r="Q30" s="19"/>
      <c r="R30" s="19"/>
      <c r="S30" s="123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79"/>
      <c r="AH30" s="79"/>
      <c r="AI30" s="79"/>
      <c r="AJ30" s="21">
        <f t="shared" si="4"/>
        <v>0</v>
      </c>
    </row>
    <row r="31" spans="1:36" ht="21" customHeight="1" x14ac:dyDescent="0.25">
      <c r="A31" s="20"/>
      <c r="B31" s="220"/>
      <c r="C31" s="183" t="s">
        <v>118</v>
      </c>
      <c r="D31" s="185"/>
      <c r="E31" s="19"/>
      <c r="F31" s="19"/>
      <c r="G31" s="19"/>
      <c r="H31" s="19"/>
      <c r="I31" s="123"/>
      <c r="J31" s="19"/>
      <c r="K31" s="19"/>
      <c r="L31" s="19"/>
      <c r="M31" s="19"/>
      <c r="N31" s="19"/>
      <c r="O31" s="19"/>
      <c r="P31" s="19"/>
      <c r="Q31" s="19"/>
      <c r="R31" s="19"/>
      <c r="S31" s="123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79"/>
      <c r="AH31" s="79"/>
      <c r="AI31" s="79"/>
      <c r="AJ31" s="21">
        <f t="shared" si="4"/>
        <v>0</v>
      </c>
    </row>
    <row r="32" spans="1:36" ht="21" customHeight="1" x14ac:dyDescent="0.25">
      <c r="A32" s="20"/>
      <c r="B32" s="220"/>
      <c r="C32" s="183" t="s">
        <v>119</v>
      </c>
      <c r="D32" s="228"/>
      <c r="E32" s="19"/>
      <c r="F32" s="19"/>
      <c r="G32" s="19"/>
      <c r="H32" s="19"/>
      <c r="I32" s="123"/>
      <c r="J32" s="19"/>
      <c r="K32" s="19"/>
      <c r="L32" s="19"/>
      <c r="M32" s="19"/>
      <c r="N32" s="19"/>
      <c r="O32" s="19"/>
      <c r="P32" s="19"/>
      <c r="Q32" s="19"/>
      <c r="R32" s="19"/>
      <c r="S32" s="123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79"/>
      <c r="AH32" s="79"/>
      <c r="AI32" s="79"/>
      <c r="AJ32" s="21">
        <f t="shared" si="4"/>
        <v>0</v>
      </c>
    </row>
    <row r="33" spans="1:36" ht="21" customHeight="1" x14ac:dyDescent="0.25">
      <c r="A33" s="20"/>
      <c r="B33" s="220"/>
      <c r="C33" s="183" t="s">
        <v>111</v>
      </c>
      <c r="D33" s="185"/>
      <c r="E33" s="19"/>
      <c r="F33" s="19"/>
      <c r="G33" s="19"/>
      <c r="H33" s="19"/>
      <c r="I33" s="123"/>
      <c r="J33" s="19"/>
      <c r="K33" s="19"/>
      <c r="L33" s="19"/>
      <c r="M33" s="19"/>
      <c r="N33" s="19"/>
      <c r="O33" s="19"/>
      <c r="P33" s="19"/>
      <c r="Q33" s="19"/>
      <c r="R33" s="19"/>
      <c r="S33" s="123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79"/>
      <c r="AH33" s="79"/>
      <c r="AI33" s="79"/>
      <c r="AJ33" s="21">
        <f t="shared" si="4"/>
        <v>0</v>
      </c>
    </row>
    <row r="34" spans="1:36" ht="21" customHeight="1" thickBot="1" x14ac:dyDescent="0.3">
      <c r="A34" s="31"/>
      <c r="B34" s="221"/>
      <c r="C34" s="222" t="s">
        <v>112</v>
      </c>
      <c r="D34" s="223"/>
      <c r="E34" s="22"/>
      <c r="F34" s="22"/>
      <c r="G34" s="22"/>
      <c r="H34" s="22"/>
      <c r="I34" s="124"/>
      <c r="J34" s="22"/>
      <c r="K34" s="22"/>
      <c r="L34" s="22"/>
      <c r="M34" s="22"/>
      <c r="N34" s="22"/>
      <c r="O34" s="22"/>
      <c r="P34" s="22"/>
      <c r="Q34" s="22"/>
      <c r="R34" s="22"/>
      <c r="S34" s="124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80"/>
      <c r="AH34" s="80"/>
      <c r="AI34" s="80"/>
      <c r="AJ34" s="24">
        <f t="shared" si="4"/>
        <v>0</v>
      </c>
    </row>
    <row r="35" spans="1:36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30"/>
      <c r="F35" s="30"/>
      <c r="G35" s="30"/>
      <c r="H35" s="30"/>
      <c r="I35" s="125"/>
      <c r="J35" s="30"/>
      <c r="K35" s="30"/>
      <c r="L35" s="30"/>
      <c r="M35" s="30"/>
      <c r="N35" s="30"/>
      <c r="O35" s="30"/>
      <c r="P35" s="30"/>
      <c r="Q35" s="30"/>
      <c r="R35" s="30"/>
      <c r="S35" s="125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83"/>
      <c r="AH35" s="83"/>
      <c r="AI35" s="83"/>
      <c r="AJ35" s="84">
        <f t="shared" si="4"/>
        <v>0</v>
      </c>
    </row>
    <row r="36" spans="1:36" ht="21" customHeight="1" x14ac:dyDescent="0.25">
      <c r="A36" s="206"/>
      <c r="B36" s="220"/>
      <c r="C36" s="183" t="s">
        <v>102</v>
      </c>
      <c r="D36" s="185"/>
      <c r="E36" s="19"/>
      <c r="F36" s="19"/>
      <c r="G36" s="19"/>
      <c r="H36" s="19"/>
      <c r="I36" s="123"/>
      <c r="J36" s="19"/>
      <c r="K36" s="19"/>
      <c r="L36" s="19"/>
      <c r="M36" s="19"/>
      <c r="N36" s="19"/>
      <c r="O36" s="19"/>
      <c r="P36" s="19"/>
      <c r="Q36" s="19"/>
      <c r="R36" s="19"/>
      <c r="S36" s="123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79"/>
      <c r="AH36" s="79"/>
      <c r="AI36" s="79"/>
      <c r="AJ36" s="21">
        <f t="shared" si="4"/>
        <v>0</v>
      </c>
    </row>
    <row r="37" spans="1:36" ht="21" customHeight="1" thickBot="1" x14ac:dyDescent="0.3">
      <c r="A37" s="187"/>
      <c r="B37" s="221"/>
      <c r="C37" s="222" t="s">
        <v>103</v>
      </c>
      <c r="D37" s="223"/>
      <c r="E37" s="22"/>
      <c r="F37" s="22"/>
      <c r="G37" s="22"/>
      <c r="H37" s="22"/>
      <c r="I37" s="124"/>
      <c r="J37" s="22"/>
      <c r="K37" s="22"/>
      <c r="L37" s="22"/>
      <c r="M37" s="22"/>
      <c r="N37" s="22"/>
      <c r="O37" s="22"/>
      <c r="P37" s="22"/>
      <c r="Q37" s="22"/>
      <c r="R37" s="22"/>
      <c r="S37" s="124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80"/>
      <c r="AH37" s="80"/>
      <c r="AI37" s="80"/>
      <c r="AJ37" s="24">
        <f t="shared" si="4"/>
        <v>0</v>
      </c>
    </row>
    <row r="38" spans="1:36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30"/>
      <c r="F38" s="30"/>
      <c r="G38" s="30"/>
      <c r="H38" s="30"/>
      <c r="I38" s="125"/>
      <c r="J38" s="30"/>
      <c r="K38" s="30"/>
      <c r="L38" s="30"/>
      <c r="M38" s="30"/>
      <c r="N38" s="30"/>
      <c r="O38" s="30"/>
      <c r="P38" s="30"/>
      <c r="Q38" s="30"/>
      <c r="R38" s="30"/>
      <c r="S38" s="12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83"/>
      <c r="AH38" s="83"/>
      <c r="AI38" s="83"/>
      <c r="AJ38" s="84">
        <f t="shared" si="4"/>
        <v>0</v>
      </c>
    </row>
    <row r="39" spans="1:36" ht="21" customHeight="1" x14ac:dyDescent="0.25">
      <c r="A39" s="206"/>
      <c r="B39" s="220"/>
      <c r="C39" s="183" t="s">
        <v>102</v>
      </c>
      <c r="D39" s="185"/>
      <c r="E39" s="19"/>
      <c r="F39" s="19"/>
      <c r="G39" s="19"/>
      <c r="H39" s="19"/>
      <c r="I39" s="123"/>
      <c r="J39" s="19"/>
      <c r="K39" s="19"/>
      <c r="L39" s="19"/>
      <c r="M39" s="19"/>
      <c r="N39" s="19"/>
      <c r="O39" s="19"/>
      <c r="P39" s="19"/>
      <c r="Q39" s="19"/>
      <c r="R39" s="19"/>
      <c r="S39" s="123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9"/>
      <c r="AH39" s="79"/>
      <c r="AI39" s="79"/>
      <c r="AJ39" s="21">
        <f t="shared" si="4"/>
        <v>0</v>
      </c>
    </row>
    <row r="40" spans="1:36" ht="21" customHeight="1" thickBot="1" x14ac:dyDescent="0.3">
      <c r="A40" s="187"/>
      <c r="B40" s="221"/>
      <c r="C40" s="222" t="s">
        <v>103</v>
      </c>
      <c r="D40" s="223"/>
      <c r="E40" s="22"/>
      <c r="F40" s="22"/>
      <c r="G40" s="22"/>
      <c r="H40" s="22"/>
      <c r="I40" s="124"/>
      <c r="J40" s="22"/>
      <c r="K40" s="22"/>
      <c r="L40" s="22"/>
      <c r="M40" s="22"/>
      <c r="N40" s="22"/>
      <c r="O40" s="22"/>
      <c r="P40" s="22"/>
      <c r="Q40" s="22"/>
      <c r="R40" s="22"/>
      <c r="S40" s="124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85"/>
      <c r="AH40" s="85"/>
      <c r="AI40" s="85"/>
      <c r="AJ40" s="86">
        <f t="shared" si="4"/>
        <v>0</v>
      </c>
    </row>
    <row r="41" spans="1:36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8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5"/>
      <c r="AI41" s="236"/>
      <c r="AJ41" s="33">
        <f>SUM(AJ12:AJ40)</f>
        <v>8</v>
      </c>
    </row>
    <row r="42" spans="1:36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8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87"/>
      <c r="AG42" s="87"/>
      <c r="AH42" s="17"/>
      <c r="AI42" s="17"/>
      <c r="AJ42" s="17"/>
    </row>
    <row r="43" spans="1:36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8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  <c r="AJ43" s="17"/>
    </row>
    <row r="44" spans="1:36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8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87"/>
      <c r="AG44" s="87"/>
      <c r="AH44" s="17"/>
      <c r="AI44" s="17"/>
      <c r="AJ44" s="17"/>
    </row>
    <row r="45" spans="1:36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8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87"/>
      <c r="AG45" s="87"/>
      <c r="AH45" s="17"/>
      <c r="AI45" s="17"/>
      <c r="AJ45" s="17"/>
    </row>
    <row r="46" spans="1:36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8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87"/>
      <c r="AG46" s="87"/>
      <c r="AH46" s="17"/>
      <c r="AI46" s="17"/>
      <c r="AJ46" s="17"/>
    </row>
    <row r="47" spans="1:36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8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87"/>
      <c r="AG47" s="87"/>
      <c r="AH47" s="17"/>
      <c r="AI47" s="17"/>
      <c r="AJ47" s="17"/>
    </row>
    <row r="48" spans="1:36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8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87"/>
      <c r="AG48" s="87"/>
      <c r="AH48" s="17"/>
      <c r="AI48" s="17"/>
      <c r="AJ48" s="17"/>
    </row>
    <row r="49" spans="1:36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8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87"/>
      <c r="AG49" s="87"/>
      <c r="AH49" s="17"/>
      <c r="AI49" s="17"/>
      <c r="AJ49" s="17"/>
    </row>
    <row r="50" spans="1:36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8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87"/>
      <c r="AG50" s="87"/>
      <c r="AH50" s="17"/>
      <c r="AI50" s="17"/>
      <c r="AJ50" s="17"/>
    </row>
    <row r="51" spans="1:36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8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87"/>
      <c r="AG51" s="87"/>
      <c r="AH51" s="17"/>
      <c r="AI51" s="17"/>
      <c r="AJ51" s="17"/>
    </row>
    <row r="52" spans="1:36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8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87"/>
      <c r="AG52" s="87"/>
      <c r="AH52" s="17"/>
      <c r="AI52" s="17"/>
      <c r="AJ52" s="17"/>
    </row>
    <row r="53" spans="1:36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8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87"/>
      <c r="AG53" s="87"/>
      <c r="AH53" s="17"/>
      <c r="AI53" s="17"/>
      <c r="AJ53" s="17"/>
    </row>
    <row r="54" spans="1:36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8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87"/>
      <c r="AG54" s="87"/>
      <c r="AH54" s="17"/>
      <c r="AI54" s="17"/>
      <c r="AJ54" s="17"/>
    </row>
    <row r="55" spans="1:36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8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87"/>
      <c r="AG55" s="87"/>
      <c r="AH55" s="17"/>
      <c r="AI55" s="17"/>
      <c r="AJ55" s="17"/>
    </row>
    <row r="56" spans="1:36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8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87"/>
      <c r="AG56" s="87"/>
      <c r="AH56" s="17"/>
      <c r="AI56" s="17"/>
      <c r="AJ56" s="17"/>
    </row>
    <row r="57" spans="1:36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8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87"/>
      <c r="AG57" s="87"/>
      <c r="AH57" s="17"/>
      <c r="AI57" s="17"/>
      <c r="AJ57" s="17"/>
    </row>
    <row r="58" spans="1:36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8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87"/>
      <c r="AG58" s="87"/>
      <c r="AH58" s="17"/>
      <c r="AI58" s="17"/>
      <c r="AJ58" s="17"/>
    </row>
    <row r="59" spans="1:36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8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87"/>
      <c r="AG59" s="87"/>
      <c r="AH59" s="17"/>
      <c r="AI59" s="17"/>
      <c r="AJ59" s="17"/>
    </row>
    <row r="60" spans="1:36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8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87"/>
      <c r="AG60" s="87"/>
      <c r="AH60" s="17"/>
      <c r="AI60" s="17"/>
      <c r="AJ60" s="17"/>
    </row>
    <row r="61" spans="1:36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8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87"/>
      <c r="AG61" s="87"/>
      <c r="AH61" s="17"/>
      <c r="AI61" s="17"/>
      <c r="AJ61" s="17"/>
    </row>
    <row r="62" spans="1:36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8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87"/>
      <c r="AG62" s="87"/>
      <c r="AH62" s="17"/>
      <c r="AI62" s="17"/>
      <c r="AJ62" s="17"/>
    </row>
    <row r="63" spans="1:36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8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87"/>
      <c r="AG63" s="87"/>
      <c r="AH63" s="17"/>
      <c r="AI63" s="17"/>
      <c r="AJ63" s="17"/>
    </row>
    <row r="64" spans="1:36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8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87"/>
      <c r="AG64" s="87"/>
      <c r="AH64" s="17"/>
      <c r="AI64" s="17"/>
      <c r="AJ64" s="17"/>
    </row>
    <row r="65" spans="1:36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8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87"/>
      <c r="AG65" s="87"/>
      <c r="AH65" s="17"/>
      <c r="AI65" s="17"/>
      <c r="AJ65" s="17"/>
    </row>
    <row r="66" spans="1:36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8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87"/>
      <c r="AG66" s="87"/>
      <c r="AH66" s="17"/>
      <c r="AI66" s="17"/>
      <c r="AJ66" s="17"/>
    </row>
    <row r="67" spans="1:36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8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87"/>
      <c r="AG67" s="87"/>
      <c r="AH67" s="17"/>
      <c r="AI67" s="17"/>
      <c r="AJ67" s="17"/>
    </row>
    <row r="68" spans="1:36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8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87"/>
      <c r="AG68" s="87"/>
      <c r="AH68" s="17"/>
      <c r="AI68" s="17"/>
      <c r="AJ68" s="17"/>
    </row>
    <row r="69" spans="1:36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8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87"/>
      <c r="AG69" s="87"/>
      <c r="AH69" s="17"/>
      <c r="AI69" s="17"/>
      <c r="AJ69" s="17"/>
    </row>
    <row r="70" spans="1:36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8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87"/>
      <c r="AG70" s="87"/>
      <c r="AH70" s="17"/>
      <c r="AI70" s="17"/>
      <c r="AJ70" s="17"/>
    </row>
    <row r="71" spans="1:36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8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87"/>
      <c r="AG71" s="87"/>
      <c r="AH71" s="17"/>
      <c r="AI71" s="17"/>
      <c r="AJ71" s="17"/>
    </row>
    <row r="72" spans="1:36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8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87"/>
      <c r="AG72" s="87"/>
      <c r="AH72" s="17"/>
      <c r="AI72" s="17"/>
      <c r="AJ72" s="17"/>
    </row>
    <row r="73" spans="1:36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8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87"/>
      <c r="AG73" s="87"/>
      <c r="AH73" s="17"/>
      <c r="AI73" s="17"/>
      <c r="AJ73" s="17"/>
    </row>
    <row r="74" spans="1:36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8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87"/>
      <c r="AG74" s="87"/>
      <c r="AH74" s="17"/>
      <c r="AI74" s="17"/>
      <c r="AJ74" s="17"/>
    </row>
    <row r="75" spans="1:36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8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87"/>
      <c r="AG75" s="87"/>
      <c r="AH75" s="17"/>
      <c r="AI75" s="17"/>
      <c r="AJ75" s="17"/>
    </row>
    <row r="76" spans="1:36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8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87"/>
      <c r="AG76" s="87"/>
      <c r="AH76" s="17"/>
      <c r="AI76" s="17"/>
      <c r="AJ76" s="17"/>
    </row>
    <row r="77" spans="1:36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8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87"/>
      <c r="AG77" s="87"/>
      <c r="AH77" s="17"/>
      <c r="AI77" s="17"/>
      <c r="AJ77" s="17"/>
    </row>
    <row r="78" spans="1:36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8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87"/>
      <c r="AG78" s="87"/>
      <c r="AH78" s="17"/>
      <c r="AI78" s="17"/>
      <c r="AJ78" s="17"/>
    </row>
    <row r="79" spans="1:36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8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87"/>
      <c r="AG79" s="87"/>
      <c r="AH79" s="17"/>
      <c r="AI79" s="17"/>
      <c r="AJ79" s="17"/>
    </row>
    <row r="80" spans="1:36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8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87"/>
      <c r="AG80" s="87"/>
      <c r="AH80" s="17"/>
      <c r="AI80" s="17"/>
      <c r="AJ80" s="17"/>
    </row>
    <row r="81" spans="1:36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8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87"/>
      <c r="AG81" s="87"/>
      <c r="AH81" s="17"/>
      <c r="AI81" s="17"/>
      <c r="AJ81" s="17"/>
    </row>
    <row r="82" spans="1:36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8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87"/>
      <c r="AG82" s="87"/>
      <c r="AH82" s="17"/>
      <c r="AI82" s="17"/>
      <c r="AJ82" s="17"/>
    </row>
    <row r="83" spans="1:36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8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87"/>
      <c r="AG83" s="87"/>
      <c r="AH83" s="17"/>
      <c r="AI83" s="17"/>
      <c r="AJ83" s="17"/>
    </row>
    <row r="84" spans="1:36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8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87"/>
      <c r="AG84" s="87"/>
      <c r="AH84" s="17"/>
      <c r="AI84" s="17"/>
      <c r="AJ84" s="17"/>
    </row>
    <row r="85" spans="1:36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8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87"/>
      <c r="AG85" s="87"/>
      <c r="AH85" s="17"/>
      <c r="AI85" s="17"/>
      <c r="AJ85" s="17"/>
    </row>
    <row r="86" spans="1:36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8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87"/>
      <c r="AG86" s="87"/>
      <c r="AH86" s="17"/>
      <c r="AI86" s="17"/>
      <c r="AJ86" s="17"/>
    </row>
    <row r="87" spans="1:36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8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87"/>
      <c r="AG87" s="87"/>
      <c r="AH87" s="17"/>
      <c r="AI87" s="17"/>
      <c r="AJ87" s="17"/>
    </row>
    <row r="88" spans="1:36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8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87"/>
      <c r="AG88" s="87"/>
      <c r="AH88" s="17"/>
      <c r="AI88" s="17"/>
      <c r="AJ88" s="17"/>
    </row>
    <row r="89" spans="1:36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8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87"/>
      <c r="AG89" s="87"/>
      <c r="AH89" s="17"/>
      <c r="AI89" s="17"/>
      <c r="AJ89" s="17"/>
    </row>
    <row r="90" spans="1:36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8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87"/>
      <c r="AG90" s="87"/>
      <c r="AH90" s="17"/>
      <c r="AI90" s="17"/>
      <c r="AJ90" s="17"/>
    </row>
    <row r="91" spans="1:36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8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87"/>
      <c r="AG91" s="87"/>
      <c r="AH91" s="17"/>
      <c r="AI91" s="17"/>
      <c r="AJ91" s="17"/>
    </row>
    <row r="92" spans="1:36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8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87"/>
      <c r="AG92" s="87"/>
      <c r="AH92" s="17"/>
      <c r="AI92" s="17"/>
      <c r="AJ92" s="17"/>
    </row>
    <row r="93" spans="1:36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8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87"/>
      <c r="AG93" s="87"/>
      <c r="AH93" s="17"/>
      <c r="AI93" s="17"/>
      <c r="AJ93" s="17"/>
    </row>
    <row r="94" spans="1:36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8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87"/>
      <c r="AG94" s="87"/>
      <c r="AH94" s="17"/>
      <c r="AI94" s="17"/>
      <c r="AJ94" s="17"/>
    </row>
    <row r="95" spans="1:36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8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87"/>
      <c r="AG95" s="87"/>
      <c r="AH95" s="17"/>
      <c r="AI95" s="17"/>
      <c r="AJ95" s="17"/>
    </row>
    <row r="96" spans="1:36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8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87"/>
      <c r="AG96" s="87"/>
      <c r="AH96" s="17"/>
      <c r="AI96" s="17"/>
      <c r="AJ96" s="17"/>
    </row>
    <row r="97" spans="1:36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8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87"/>
      <c r="AG97" s="87"/>
      <c r="AH97" s="17"/>
      <c r="AI97" s="17"/>
      <c r="AJ97" s="17"/>
    </row>
    <row r="98" spans="1:36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8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87"/>
      <c r="AG98" s="87"/>
      <c r="AH98" s="17"/>
      <c r="AI98" s="17"/>
      <c r="AJ98" s="17"/>
    </row>
    <row r="99" spans="1:36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8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87"/>
      <c r="AG99" s="87"/>
      <c r="AH99" s="17"/>
      <c r="AI99" s="17"/>
      <c r="AJ99" s="17"/>
    </row>
    <row r="100" spans="1:36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8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87"/>
      <c r="AG100" s="87"/>
      <c r="AH100" s="17"/>
      <c r="AI100" s="17"/>
      <c r="AJ100" s="17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B8:D8"/>
    <mergeCell ref="B9:D9"/>
    <mergeCell ref="A10:A11"/>
    <mergeCell ref="B10:C11"/>
    <mergeCell ref="B12:D12"/>
  </mergeCells>
  <pageMargins left="0.43307086614173229" right="0.39370078740157483" top="0.31496062992125984" bottom="0.31496062992125984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1000"/>
  <sheetViews>
    <sheetView showGridLines="0" workbookViewId="0">
      <selection activeCell="E8" sqref="E8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5" width="4.7109375" customWidth="1"/>
  </cols>
  <sheetData>
    <row r="1" spans="1:35" ht="12.75" customHeight="1" x14ac:dyDescent="0.25">
      <c r="A1" s="17"/>
      <c r="B1" s="17"/>
      <c r="C1" s="17"/>
      <c r="D1" s="17"/>
      <c r="E1" s="17"/>
      <c r="F1" s="17"/>
      <c r="G1" s="17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87"/>
      <c r="AG1" s="87"/>
      <c r="AH1" s="17"/>
      <c r="AI1" s="17"/>
    </row>
    <row r="2" spans="1:35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17"/>
      <c r="H2" s="17"/>
      <c r="I2" s="17"/>
      <c r="J2" s="8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87"/>
      <c r="AG2" s="87"/>
      <c r="AH2" s="17"/>
      <c r="AI2" s="17"/>
    </row>
    <row r="3" spans="1:35" ht="12.75" customHeight="1" x14ac:dyDescent="0.25">
      <c r="A3" s="195" t="s">
        <v>82</v>
      </c>
      <c r="B3" s="196"/>
      <c r="C3" s="196"/>
      <c r="D3" s="196"/>
      <c r="E3" s="17"/>
      <c r="F3" s="17"/>
      <c r="G3" s="17"/>
      <c r="H3" s="17"/>
      <c r="I3" s="17"/>
      <c r="J3" s="8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87"/>
      <c r="AG3" s="87"/>
      <c r="AH3" s="17"/>
      <c r="AI3" s="17"/>
    </row>
    <row r="4" spans="1:35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8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87"/>
      <c r="AG4" s="87"/>
      <c r="AH4" s="17"/>
      <c r="AI4" s="17"/>
    </row>
    <row r="5" spans="1:35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44"/>
      <c r="AI5" s="242" t="s">
        <v>86</v>
      </c>
    </row>
    <row r="6" spans="1:35" ht="16.5" customHeight="1" x14ac:dyDescent="0.25">
      <c r="A6" s="206"/>
      <c r="B6" s="211"/>
      <c r="C6" s="196"/>
      <c r="D6" s="212"/>
      <c r="E6" s="104">
        <f>+August!AI6+1</f>
        <v>46266</v>
      </c>
      <c r="F6" s="103">
        <f>+E6+1</f>
        <v>46267</v>
      </c>
      <c r="G6" s="103">
        <f t="shared" ref="G6:AH6" si="0">+F6+1</f>
        <v>46268</v>
      </c>
      <c r="H6" s="103">
        <f t="shared" si="0"/>
        <v>46269</v>
      </c>
      <c r="I6" s="103">
        <f t="shared" si="0"/>
        <v>46270</v>
      </c>
      <c r="J6" s="103">
        <f t="shared" si="0"/>
        <v>46271</v>
      </c>
      <c r="K6" s="103">
        <f t="shared" si="0"/>
        <v>46272</v>
      </c>
      <c r="L6" s="103">
        <f t="shared" si="0"/>
        <v>46273</v>
      </c>
      <c r="M6" s="103">
        <f t="shared" si="0"/>
        <v>46274</v>
      </c>
      <c r="N6" s="103">
        <f t="shared" si="0"/>
        <v>46275</v>
      </c>
      <c r="O6" s="103">
        <f t="shared" si="0"/>
        <v>46276</v>
      </c>
      <c r="P6" s="103">
        <f t="shared" si="0"/>
        <v>46277</v>
      </c>
      <c r="Q6" s="103">
        <f t="shared" si="0"/>
        <v>46278</v>
      </c>
      <c r="R6" s="103">
        <f t="shared" si="0"/>
        <v>46279</v>
      </c>
      <c r="S6" s="103">
        <f t="shared" si="0"/>
        <v>46280</v>
      </c>
      <c r="T6" s="103">
        <f t="shared" si="0"/>
        <v>46281</v>
      </c>
      <c r="U6" s="103">
        <f t="shared" si="0"/>
        <v>46282</v>
      </c>
      <c r="V6" s="103">
        <f t="shared" si="0"/>
        <v>46283</v>
      </c>
      <c r="W6" s="103">
        <f t="shared" si="0"/>
        <v>46284</v>
      </c>
      <c r="X6" s="103">
        <f t="shared" si="0"/>
        <v>46285</v>
      </c>
      <c r="Y6" s="103">
        <f t="shared" si="0"/>
        <v>46286</v>
      </c>
      <c r="Z6" s="103">
        <f t="shared" si="0"/>
        <v>46287</v>
      </c>
      <c r="AA6" s="103">
        <f t="shared" si="0"/>
        <v>46288</v>
      </c>
      <c r="AB6" s="103">
        <f t="shared" si="0"/>
        <v>46289</v>
      </c>
      <c r="AC6" s="103">
        <f t="shared" si="0"/>
        <v>46290</v>
      </c>
      <c r="AD6" s="103">
        <f t="shared" si="0"/>
        <v>46291</v>
      </c>
      <c r="AE6" s="103">
        <f t="shared" si="0"/>
        <v>46292</v>
      </c>
      <c r="AF6" s="103">
        <f t="shared" si="0"/>
        <v>46293</v>
      </c>
      <c r="AG6" s="103">
        <f t="shared" si="0"/>
        <v>46294</v>
      </c>
      <c r="AH6" s="103">
        <f t="shared" si="0"/>
        <v>46295</v>
      </c>
      <c r="AI6" s="198"/>
    </row>
    <row r="7" spans="1:35" ht="16.5" customHeight="1" x14ac:dyDescent="0.25">
      <c r="A7" s="207"/>
      <c r="B7" s="213"/>
      <c r="C7" s="214"/>
      <c r="D7" s="215"/>
      <c r="E7" s="67" t="s">
        <v>131</v>
      </c>
      <c r="F7" s="19" t="str">
        <f t="shared" ref="F7:AH7" si="1">IF(E7="Mon","Tue",IF(E7="Tue","Wed",IF(E7="Wed","Thu",IF(E7="Thu","Fri",IF(E7="Fri","Sat",IF(E7="Sat","Sun",IF(E7="Sun","Mon")))))))</f>
        <v>Wed</v>
      </c>
      <c r="G7" s="19" t="str">
        <f t="shared" si="1"/>
        <v>Thu</v>
      </c>
      <c r="H7" s="19" t="str">
        <f t="shared" si="1"/>
        <v>Fri</v>
      </c>
      <c r="I7" s="19" t="str">
        <f t="shared" si="1"/>
        <v>Sat</v>
      </c>
      <c r="J7" s="19" t="str">
        <f t="shared" si="1"/>
        <v>Sun</v>
      </c>
      <c r="K7" s="19" t="str">
        <f t="shared" si="1"/>
        <v>Mon</v>
      </c>
      <c r="L7" s="19" t="str">
        <f t="shared" si="1"/>
        <v>Tue</v>
      </c>
      <c r="M7" s="19" t="str">
        <f t="shared" si="1"/>
        <v>Wed</v>
      </c>
      <c r="N7" s="19" t="str">
        <f t="shared" si="1"/>
        <v>Thu</v>
      </c>
      <c r="O7" s="19" t="str">
        <f t="shared" si="1"/>
        <v>Fri</v>
      </c>
      <c r="P7" s="19" t="str">
        <f t="shared" si="1"/>
        <v>Sat</v>
      </c>
      <c r="Q7" s="19" t="str">
        <f t="shared" si="1"/>
        <v>Sun</v>
      </c>
      <c r="R7" s="19" t="str">
        <f t="shared" si="1"/>
        <v>Mon</v>
      </c>
      <c r="S7" s="19" t="str">
        <f t="shared" si="1"/>
        <v>Tue</v>
      </c>
      <c r="T7" s="19" t="str">
        <f t="shared" si="1"/>
        <v>Wed</v>
      </c>
      <c r="U7" s="19" t="str">
        <f t="shared" si="1"/>
        <v>Thu</v>
      </c>
      <c r="V7" s="19" t="str">
        <f t="shared" si="1"/>
        <v>Fri</v>
      </c>
      <c r="W7" s="19" t="str">
        <f t="shared" si="1"/>
        <v>Sat</v>
      </c>
      <c r="X7" s="19" t="str">
        <f t="shared" si="1"/>
        <v>Sun</v>
      </c>
      <c r="Y7" s="19" t="str">
        <f t="shared" si="1"/>
        <v>Mon</v>
      </c>
      <c r="Z7" s="19" t="str">
        <f t="shared" si="1"/>
        <v>Tue</v>
      </c>
      <c r="AA7" s="19" t="str">
        <f t="shared" si="1"/>
        <v>Wed</v>
      </c>
      <c r="AB7" s="19" t="str">
        <f t="shared" si="1"/>
        <v>Thu</v>
      </c>
      <c r="AC7" s="19" t="str">
        <f t="shared" si="1"/>
        <v>Fri</v>
      </c>
      <c r="AD7" s="19" t="str">
        <f t="shared" si="1"/>
        <v>Sat</v>
      </c>
      <c r="AE7" s="19" t="str">
        <f t="shared" si="1"/>
        <v>Sun</v>
      </c>
      <c r="AF7" s="19" t="str">
        <f t="shared" si="1"/>
        <v>Mon</v>
      </c>
      <c r="AG7" s="19" t="str">
        <f t="shared" si="1"/>
        <v>Tue</v>
      </c>
      <c r="AH7" s="19" t="str">
        <f t="shared" si="1"/>
        <v>Wed</v>
      </c>
      <c r="AI7" s="199"/>
    </row>
    <row r="8" spans="1:35" ht="21" customHeight="1" x14ac:dyDescent="0.25">
      <c r="A8" s="20" t="s">
        <v>30</v>
      </c>
      <c r="B8" s="183" t="s">
        <v>90</v>
      </c>
      <c r="C8" s="184"/>
      <c r="D8" s="185"/>
      <c r="E8" s="37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38" t="s">
        <v>31</v>
      </c>
    </row>
    <row r="9" spans="1:35" ht="21" customHeight="1" x14ac:dyDescent="0.25">
      <c r="A9" s="20" t="s">
        <v>32</v>
      </c>
      <c r="B9" s="183" t="s">
        <v>91</v>
      </c>
      <c r="C9" s="184"/>
      <c r="D9" s="185"/>
      <c r="E9" s="37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38" t="s">
        <v>31</v>
      </c>
    </row>
    <row r="10" spans="1:35" ht="21" customHeight="1" x14ac:dyDescent="0.25">
      <c r="A10" s="186" t="s">
        <v>33</v>
      </c>
      <c r="B10" s="238" t="s">
        <v>93</v>
      </c>
      <c r="C10" s="239"/>
      <c r="D10" s="19" t="s">
        <v>88</v>
      </c>
      <c r="E10" s="37"/>
      <c r="F10" s="19"/>
      <c r="G10" s="19"/>
      <c r="H10" s="19"/>
      <c r="I10" s="19"/>
      <c r="J10" s="3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37"/>
      <c r="AA10" s="19"/>
      <c r="AB10" s="19"/>
      <c r="AC10" s="19"/>
      <c r="AD10" s="37"/>
      <c r="AE10" s="37"/>
      <c r="AF10" s="37"/>
      <c r="AG10" s="46"/>
      <c r="AH10" s="79"/>
      <c r="AI10" s="38" t="s">
        <v>31</v>
      </c>
    </row>
    <row r="11" spans="1:35" ht="21" customHeight="1" x14ac:dyDescent="0.25">
      <c r="A11" s="187"/>
      <c r="B11" s="240"/>
      <c r="C11" s="241"/>
      <c r="D11" s="22" t="s">
        <v>89</v>
      </c>
      <c r="E11" s="39"/>
      <c r="F11" s="22"/>
      <c r="G11" s="22"/>
      <c r="H11" s="22"/>
      <c r="I11" s="22"/>
      <c r="J11" s="3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39"/>
      <c r="AA11" s="22"/>
      <c r="AB11" s="22"/>
      <c r="AC11" s="22"/>
      <c r="AD11" s="39"/>
      <c r="AE11" s="39"/>
      <c r="AF11" s="39"/>
      <c r="AG11" s="47"/>
      <c r="AH11" s="80"/>
      <c r="AI11" s="40" t="s">
        <v>31</v>
      </c>
    </row>
    <row r="12" spans="1:35" ht="21" customHeight="1" thickTop="1" thickBot="1" x14ac:dyDescent="0.3">
      <c r="A12" s="25" t="s">
        <v>34</v>
      </c>
      <c r="B12" s="192" t="s">
        <v>94</v>
      </c>
      <c r="C12" s="193"/>
      <c r="D12" s="194"/>
      <c r="E12" s="41">
        <f t="shared" ref="E12:AH12" si="2">E9-E8</f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  <c r="I12" s="27">
        <f t="shared" si="2"/>
        <v>0</v>
      </c>
      <c r="J12" s="41">
        <f t="shared" si="2"/>
        <v>0</v>
      </c>
      <c r="K12" s="27">
        <f t="shared" si="2"/>
        <v>0</v>
      </c>
      <c r="L12" s="27">
        <f t="shared" si="2"/>
        <v>0</v>
      </c>
      <c r="M12" s="27">
        <f t="shared" si="2"/>
        <v>0</v>
      </c>
      <c r="N12" s="27">
        <f t="shared" si="2"/>
        <v>0</v>
      </c>
      <c r="O12" s="27">
        <f t="shared" si="2"/>
        <v>0</v>
      </c>
      <c r="P12" s="27">
        <f t="shared" si="2"/>
        <v>0</v>
      </c>
      <c r="Q12" s="27">
        <f t="shared" si="2"/>
        <v>0</v>
      </c>
      <c r="R12" s="27">
        <f t="shared" si="2"/>
        <v>0</v>
      </c>
      <c r="S12" s="27">
        <f t="shared" si="2"/>
        <v>0</v>
      </c>
      <c r="T12" s="27">
        <f t="shared" si="2"/>
        <v>0</v>
      </c>
      <c r="U12" s="27">
        <f t="shared" si="2"/>
        <v>0</v>
      </c>
      <c r="V12" s="27">
        <f t="shared" si="2"/>
        <v>0</v>
      </c>
      <c r="W12" s="27">
        <f t="shared" si="2"/>
        <v>0</v>
      </c>
      <c r="X12" s="27">
        <f t="shared" si="2"/>
        <v>0</v>
      </c>
      <c r="Y12" s="27">
        <f t="shared" si="2"/>
        <v>0</v>
      </c>
      <c r="Z12" s="41">
        <f t="shared" si="2"/>
        <v>0</v>
      </c>
      <c r="AA12" s="27">
        <f t="shared" si="2"/>
        <v>0</v>
      </c>
      <c r="AB12" s="27">
        <f t="shared" si="2"/>
        <v>0</v>
      </c>
      <c r="AC12" s="27">
        <f t="shared" si="2"/>
        <v>0</v>
      </c>
      <c r="AD12" s="41">
        <f t="shared" si="2"/>
        <v>0</v>
      </c>
      <c r="AE12" s="41">
        <f t="shared" si="2"/>
        <v>0</v>
      </c>
      <c r="AF12" s="41">
        <f t="shared" si="2"/>
        <v>0</v>
      </c>
      <c r="AG12" s="41">
        <f t="shared" si="2"/>
        <v>0</v>
      </c>
      <c r="AH12" s="81">
        <f t="shared" si="2"/>
        <v>0</v>
      </c>
      <c r="AI12" s="88">
        <f t="shared" ref="AI12:AI40" si="3">SUM(E12:AH12)</f>
        <v>0</v>
      </c>
    </row>
    <row r="13" spans="1:35" ht="21" customHeight="1" thickTop="1" x14ac:dyDescent="0.25">
      <c r="A13" s="28" t="s">
        <v>35</v>
      </c>
      <c r="B13" s="216" t="s">
        <v>80</v>
      </c>
      <c r="C13" s="231"/>
      <c r="D13" s="217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83"/>
      <c r="AC13" s="30"/>
      <c r="AD13" s="30"/>
      <c r="AE13" s="30"/>
      <c r="AF13" s="30"/>
      <c r="AG13" s="83"/>
      <c r="AH13" s="83"/>
      <c r="AI13" s="89">
        <f t="shared" si="3"/>
        <v>0</v>
      </c>
    </row>
    <row r="14" spans="1:35" ht="21" customHeight="1" x14ac:dyDescent="0.25">
      <c r="A14" s="20" t="s">
        <v>36</v>
      </c>
      <c r="B14" s="183" t="s">
        <v>95</v>
      </c>
      <c r="C14" s="184"/>
      <c r="D14" s="185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79"/>
      <c r="AC14" s="19"/>
      <c r="AD14" s="19"/>
      <c r="AE14" s="19"/>
      <c r="AF14" s="19"/>
      <c r="AG14" s="79"/>
      <c r="AH14" s="79"/>
      <c r="AI14" s="38">
        <f t="shared" si="3"/>
        <v>0</v>
      </c>
    </row>
    <row r="15" spans="1:35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79"/>
      <c r="AC15" s="19"/>
      <c r="AD15" s="19"/>
      <c r="AE15" s="19"/>
      <c r="AF15" s="19"/>
      <c r="AG15" s="79"/>
      <c r="AH15" s="79"/>
      <c r="AI15" s="38">
        <f t="shared" si="3"/>
        <v>0</v>
      </c>
    </row>
    <row r="16" spans="1:35" ht="21" customHeight="1" x14ac:dyDescent="0.25">
      <c r="A16" s="20"/>
      <c r="B16" s="220"/>
      <c r="C16" s="220"/>
      <c r="D16" s="140" t="s">
        <v>97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79"/>
      <c r="AC16" s="19"/>
      <c r="AD16" s="19"/>
      <c r="AE16" s="19"/>
      <c r="AF16" s="19"/>
      <c r="AG16" s="79"/>
      <c r="AH16" s="79"/>
      <c r="AI16" s="38">
        <f t="shared" si="3"/>
        <v>0</v>
      </c>
    </row>
    <row r="17" spans="1:35" ht="21" customHeight="1" x14ac:dyDescent="0.25">
      <c r="A17" s="20"/>
      <c r="B17" s="220"/>
      <c r="C17" s="232"/>
      <c r="D17" s="140" t="s">
        <v>98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79"/>
      <c r="AC17" s="19"/>
      <c r="AD17" s="19"/>
      <c r="AE17" s="19"/>
      <c r="AF17" s="19"/>
      <c r="AG17" s="79"/>
      <c r="AH17" s="79"/>
      <c r="AI17" s="38">
        <f t="shared" si="3"/>
        <v>0</v>
      </c>
    </row>
    <row r="18" spans="1:35" ht="21" customHeight="1" x14ac:dyDescent="0.25">
      <c r="A18" s="20"/>
      <c r="B18" s="220"/>
      <c r="C18" s="183" t="s">
        <v>100</v>
      </c>
      <c r="D18" s="185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79"/>
      <c r="AC18" s="19"/>
      <c r="AD18" s="19"/>
      <c r="AE18" s="19"/>
      <c r="AF18" s="19"/>
      <c r="AG18" s="79"/>
      <c r="AH18" s="79"/>
      <c r="AI18" s="38">
        <f t="shared" si="3"/>
        <v>0</v>
      </c>
    </row>
    <row r="19" spans="1:35" ht="30" customHeight="1" x14ac:dyDescent="0.25">
      <c r="A19" s="20"/>
      <c r="B19" s="220"/>
      <c r="C19" s="224" t="s">
        <v>105</v>
      </c>
      <c r="D19" s="185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79"/>
      <c r="AC19" s="19"/>
      <c r="AD19" s="19"/>
      <c r="AE19" s="19"/>
      <c r="AF19" s="19"/>
      <c r="AG19" s="79"/>
      <c r="AH19" s="79"/>
      <c r="AI19" s="38">
        <f t="shared" si="3"/>
        <v>0</v>
      </c>
    </row>
    <row r="20" spans="1:35" ht="21" customHeight="1" x14ac:dyDescent="0.25">
      <c r="A20" s="20"/>
      <c r="B20" s="220"/>
      <c r="C20" s="183" t="s">
        <v>106</v>
      </c>
      <c r="D20" s="185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79"/>
      <c r="AC20" s="19"/>
      <c r="AD20" s="19"/>
      <c r="AE20" s="19"/>
      <c r="AF20" s="19"/>
      <c r="AG20" s="79"/>
      <c r="AH20" s="79"/>
      <c r="AI20" s="38">
        <f t="shared" si="3"/>
        <v>0</v>
      </c>
    </row>
    <row r="21" spans="1:35" ht="21" customHeight="1" x14ac:dyDescent="0.25">
      <c r="A21" s="20"/>
      <c r="B21" s="220"/>
      <c r="C21" s="183" t="s">
        <v>107</v>
      </c>
      <c r="D21" s="185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79"/>
      <c r="AC21" s="19"/>
      <c r="AD21" s="19"/>
      <c r="AE21" s="19"/>
      <c r="AF21" s="19"/>
      <c r="AG21" s="79"/>
      <c r="AH21" s="79"/>
      <c r="AI21" s="38">
        <f t="shared" si="3"/>
        <v>0</v>
      </c>
    </row>
    <row r="22" spans="1:35" ht="21" customHeight="1" x14ac:dyDescent="0.25">
      <c r="A22" s="20"/>
      <c r="B22" s="220"/>
      <c r="C22" s="183" t="s">
        <v>108</v>
      </c>
      <c r="D22" s="185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79"/>
      <c r="AC22" s="19"/>
      <c r="AD22" s="19"/>
      <c r="AE22" s="19"/>
      <c r="AF22" s="19"/>
      <c r="AG22" s="79"/>
      <c r="AH22" s="79"/>
      <c r="AI22" s="38">
        <f t="shared" si="3"/>
        <v>0</v>
      </c>
    </row>
    <row r="23" spans="1:35" ht="21" customHeight="1" x14ac:dyDescent="0.25">
      <c r="A23" s="20"/>
      <c r="B23" s="220"/>
      <c r="C23" s="229" t="s">
        <v>122</v>
      </c>
      <c r="D23" s="23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79"/>
      <c r="AC23" s="19"/>
      <c r="AD23" s="19"/>
      <c r="AE23" s="19"/>
      <c r="AF23" s="19"/>
      <c r="AG23" s="79"/>
      <c r="AH23" s="79"/>
      <c r="AI23" s="38">
        <f t="shared" si="3"/>
        <v>0</v>
      </c>
    </row>
    <row r="24" spans="1:35" ht="21" customHeight="1" x14ac:dyDescent="0.25">
      <c r="A24" s="20"/>
      <c r="B24" s="220"/>
      <c r="C24" s="183" t="s">
        <v>113</v>
      </c>
      <c r="D24" s="185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79"/>
      <c r="AC24" s="19"/>
      <c r="AD24" s="19"/>
      <c r="AE24" s="19"/>
      <c r="AF24" s="19"/>
      <c r="AG24" s="79"/>
      <c r="AH24" s="79"/>
      <c r="AI24" s="38">
        <f t="shared" si="3"/>
        <v>0</v>
      </c>
    </row>
    <row r="25" spans="1:35" ht="30" customHeight="1" x14ac:dyDescent="0.25">
      <c r="A25" s="20"/>
      <c r="B25" s="220"/>
      <c r="C25" s="224" t="s">
        <v>114</v>
      </c>
      <c r="D25" s="185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79"/>
      <c r="AC25" s="19"/>
      <c r="AD25" s="19"/>
      <c r="AE25" s="19"/>
      <c r="AF25" s="19"/>
      <c r="AG25" s="79"/>
      <c r="AH25" s="79"/>
      <c r="AI25" s="38">
        <f t="shared" si="3"/>
        <v>0</v>
      </c>
    </row>
    <row r="26" spans="1:35" ht="21" customHeight="1" x14ac:dyDescent="0.25">
      <c r="A26" s="20"/>
      <c r="B26" s="220"/>
      <c r="C26" s="183" t="s">
        <v>115</v>
      </c>
      <c r="D26" s="185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79"/>
      <c r="AC26" s="19"/>
      <c r="AD26" s="19"/>
      <c r="AE26" s="19"/>
      <c r="AF26" s="19"/>
      <c r="AG26" s="79"/>
      <c r="AH26" s="79"/>
      <c r="AI26" s="38">
        <f t="shared" si="3"/>
        <v>0</v>
      </c>
    </row>
    <row r="27" spans="1:35" ht="21" customHeight="1" x14ac:dyDescent="0.25">
      <c r="A27" s="20"/>
      <c r="B27" s="220"/>
      <c r="C27" s="183" t="s">
        <v>116</v>
      </c>
      <c r="D27" s="185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79"/>
      <c r="AC27" s="19"/>
      <c r="AD27" s="19"/>
      <c r="AE27" s="19"/>
      <c r="AF27" s="19"/>
      <c r="AG27" s="79"/>
      <c r="AH27" s="79"/>
      <c r="AI27" s="38">
        <f t="shared" si="3"/>
        <v>0</v>
      </c>
    </row>
    <row r="28" spans="1:35" ht="21" customHeight="1" x14ac:dyDescent="0.25">
      <c r="A28" s="20"/>
      <c r="B28" s="220"/>
      <c r="C28" s="225" t="s">
        <v>121</v>
      </c>
      <c r="D28" s="226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79"/>
      <c r="AC28" s="19"/>
      <c r="AD28" s="19"/>
      <c r="AE28" s="19"/>
      <c r="AF28" s="19"/>
      <c r="AG28" s="79"/>
      <c r="AH28" s="79"/>
      <c r="AI28" s="38">
        <f t="shared" si="3"/>
        <v>0</v>
      </c>
    </row>
    <row r="29" spans="1:35" ht="21" customHeight="1" x14ac:dyDescent="0.25">
      <c r="A29" s="20"/>
      <c r="B29" s="220"/>
      <c r="C29" s="183" t="s">
        <v>120</v>
      </c>
      <c r="D29" s="22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79"/>
      <c r="AC29" s="19"/>
      <c r="AD29" s="19"/>
      <c r="AE29" s="19"/>
      <c r="AF29" s="19"/>
      <c r="AG29" s="79"/>
      <c r="AH29" s="79"/>
      <c r="AI29" s="38">
        <f t="shared" si="3"/>
        <v>0</v>
      </c>
    </row>
    <row r="30" spans="1:35" ht="21" customHeight="1" x14ac:dyDescent="0.25">
      <c r="A30" s="20"/>
      <c r="B30" s="220"/>
      <c r="C30" s="183" t="s">
        <v>117</v>
      </c>
      <c r="D30" s="18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79"/>
      <c r="AC30" s="19"/>
      <c r="AD30" s="19"/>
      <c r="AE30" s="19"/>
      <c r="AF30" s="19"/>
      <c r="AG30" s="79"/>
      <c r="AH30" s="79"/>
      <c r="AI30" s="38">
        <f t="shared" si="3"/>
        <v>0</v>
      </c>
    </row>
    <row r="31" spans="1:35" ht="21" customHeight="1" x14ac:dyDescent="0.25">
      <c r="A31" s="20"/>
      <c r="B31" s="220"/>
      <c r="C31" s="183" t="s">
        <v>118</v>
      </c>
      <c r="D31" s="185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79"/>
      <c r="AC31" s="19"/>
      <c r="AD31" s="19"/>
      <c r="AE31" s="19"/>
      <c r="AF31" s="19"/>
      <c r="AG31" s="79"/>
      <c r="AH31" s="79"/>
      <c r="AI31" s="38">
        <f t="shared" si="3"/>
        <v>0</v>
      </c>
    </row>
    <row r="32" spans="1:35" ht="21" customHeight="1" x14ac:dyDescent="0.25">
      <c r="A32" s="20"/>
      <c r="B32" s="220"/>
      <c r="C32" s="183" t="s">
        <v>119</v>
      </c>
      <c r="D32" s="22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79"/>
      <c r="AC32" s="19"/>
      <c r="AD32" s="19"/>
      <c r="AE32" s="19"/>
      <c r="AF32" s="19"/>
      <c r="AG32" s="79"/>
      <c r="AH32" s="79"/>
      <c r="AI32" s="38">
        <f t="shared" si="3"/>
        <v>0</v>
      </c>
    </row>
    <row r="33" spans="1:35" ht="21" customHeight="1" x14ac:dyDescent="0.25">
      <c r="A33" s="20"/>
      <c r="B33" s="220"/>
      <c r="C33" s="183" t="s">
        <v>111</v>
      </c>
      <c r="D33" s="18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79"/>
      <c r="AC33" s="19"/>
      <c r="AD33" s="19"/>
      <c r="AE33" s="19"/>
      <c r="AF33" s="19"/>
      <c r="AG33" s="79"/>
      <c r="AH33" s="79"/>
      <c r="AI33" s="38">
        <f t="shared" si="3"/>
        <v>0</v>
      </c>
    </row>
    <row r="34" spans="1:35" ht="21" customHeight="1" thickBot="1" x14ac:dyDescent="0.3">
      <c r="A34" s="31"/>
      <c r="B34" s="221"/>
      <c r="C34" s="222" t="s">
        <v>112</v>
      </c>
      <c r="D34" s="223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80"/>
      <c r="AC34" s="22"/>
      <c r="AD34" s="22"/>
      <c r="AE34" s="22"/>
      <c r="AF34" s="22"/>
      <c r="AG34" s="80"/>
      <c r="AH34" s="80"/>
      <c r="AI34" s="40">
        <f t="shared" si="3"/>
        <v>0</v>
      </c>
    </row>
    <row r="35" spans="1:35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83"/>
      <c r="AC35" s="30"/>
      <c r="AD35" s="30"/>
      <c r="AE35" s="30"/>
      <c r="AF35" s="30"/>
      <c r="AG35" s="83"/>
      <c r="AH35" s="83"/>
      <c r="AI35" s="89">
        <f t="shared" si="3"/>
        <v>0</v>
      </c>
    </row>
    <row r="36" spans="1:35" ht="21" customHeight="1" x14ac:dyDescent="0.25">
      <c r="A36" s="206"/>
      <c r="B36" s="220"/>
      <c r="C36" s="183" t="s">
        <v>102</v>
      </c>
      <c r="D36" s="185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79"/>
      <c r="AC36" s="19"/>
      <c r="AD36" s="19"/>
      <c r="AE36" s="19"/>
      <c r="AF36" s="19"/>
      <c r="AG36" s="79"/>
      <c r="AH36" s="79"/>
      <c r="AI36" s="38">
        <f t="shared" si="3"/>
        <v>0</v>
      </c>
    </row>
    <row r="37" spans="1:35" ht="21" customHeight="1" thickBot="1" x14ac:dyDescent="0.3">
      <c r="A37" s="187"/>
      <c r="B37" s="221"/>
      <c r="C37" s="222" t="s">
        <v>103</v>
      </c>
      <c r="D37" s="223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80"/>
      <c r="AC37" s="22"/>
      <c r="AD37" s="22"/>
      <c r="AE37" s="22"/>
      <c r="AF37" s="22"/>
      <c r="AG37" s="80"/>
      <c r="AH37" s="80"/>
      <c r="AI37" s="40">
        <f t="shared" si="3"/>
        <v>0</v>
      </c>
    </row>
    <row r="38" spans="1:35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83"/>
      <c r="AC38" s="30"/>
      <c r="AD38" s="30"/>
      <c r="AE38" s="30"/>
      <c r="AF38" s="30"/>
      <c r="AG38" s="83"/>
      <c r="AH38" s="83"/>
      <c r="AI38" s="89">
        <f t="shared" si="3"/>
        <v>0</v>
      </c>
    </row>
    <row r="39" spans="1:35" ht="21" customHeight="1" x14ac:dyDescent="0.25">
      <c r="A39" s="206"/>
      <c r="B39" s="220"/>
      <c r="C39" s="183" t="s">
        <v>102</v>
      </c>
      <c r="D39" s="185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79"/>
      <c r="AC39" s="19"/>
      <c r="AD39" s="19"/>
      <c r="AE39" s="19"/>
      <c r="AF39" s="19"/>
      <c r="AG39" s="79"/>
      <c r="AH39" s="79"/>
      <c r="AI39" s="38">
        <f t="shared" si="3"/>
        <v>0</v>
      </c>
    </row>
    <row r="40" spans="1:35" ht="21" customHeight="1" thickBot="1" x14ac:dyDescent="0.3">
      <c r="A40" s="187"/>
      <c r="B40" s="221"/>
      <c r="C40" s="222" t="s">
        <v>103</v>
      </c>
      <c r="D40" s="22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85"/>
      <c r="AH40" s="85"/>
      <c r="AI40" s="90">
        <f t="shared" si="3"/>
        <v>0</v>
      </c>
    </row>
    <row r="41" spans="1:35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2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6"/>
      <c r="AI41" s="33">
        <f>SUM(AI12:AI40)</f>
        <v>0</v>
      </c>
    </row>
    <row r="42" spans="1:35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12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27"/>
      <c r="AG42" s="127"/>
      <c r="AH42" s="17"/>
      <c r="AI42" s="17"/>
    </row>
    <row r="43" spans="1:35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12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</row>
    <row r="44" spans="1:35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12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27"/>
      <c r="AG44" s="127"/>
      <c r="AH44" s="17"/>
      <c r="AI44" s="17"/>
    </row>
    <row r="45" spans="1:35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2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27"/>
      <c r="AG45" s="127"/>
      <c r="AH45" s="17"/>
      <c r="AI45" s="17"/>
    </row>
    <row r="46" spans="1:35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8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87"/>
      <c r="AG46" s="87"/>
      <c r="AH46" s="17"/>
      <c r="AI46" s="17"/>
    </row>
    <row r="47" spans="1:35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8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87"/>
      <c r="AG47" s="87"/>
      <c r="AH47" s="17"/>
      <c r="AI47" s="17"/>
    </row>
    <row r="48" spans="1:35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8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87"/>
      <c r="AG48" s="87"/>
      <c r="AH48" s="17"/>
      <c r="AI48" s="17"/>
    </row>
    <row r="49" spans="1:35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8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87"/>
      <c r="AG49" s="87"/>
      <c r="AH49" s="17"/>
      <c r="AI49" s="17"/>
    </row>
    <row r="50" spans="1:35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8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87"/>
      <c r="AG50" s="87"/>
      <c r="AH50" s="17"/>
      <c r="AI50" s="17"/>
    </row>
    <row r="51" spans="1:35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8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87"/>
      <c r="AG51" s="87"/>
      <c r="AH51" s="17"/>
      <c r="AI51" s="17"/>
    </row>
    <row r="52" spans="1:35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8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87"/>
      <c r="AG52" s="87"/>
      <c r="AH52" s="17"/>
      <c r="AI52" s="17"/>
    </row>
    <row r="53" spans="1:35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8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87"/>
      <c r="AG53" s="87"/>
      <c r="AH53" s="17"/>
      <c r="AI53" s="17"/>
    </row>
    <row r="54" spans="1:35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8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87"/>
      <c r="AG54" s="87"/>
      <c r="AH54" s="17"/>
      <c r="AI54" s="17"/>
    </row>
    <row r="55" spans="1:35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8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87"/>
      <c r="AG55" s="87"/>
      <c r="AH55" s="17"/>
      <c r="AI55" s="17"/>
    </row>
    <row r="56" spans="1:35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8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87"/>
      <c r="AG56" s="87"/>
      <c r="AH56" s="17"/>
      <c r="AI56" s="17"/>
    </row>
    <row r="57" spans="1:35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8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87"/>
      <c r="AG57" s="87"/>
      <c r="AH57" s="17"/>
      <c r="AI57" s="17"/>
    </row>
    <row r="58" spans="1:35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8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87"/>
      <c r="AG58" s="87"/>
      <c r="AH58" s="17"/>
      <c r="AI58" s="17"/>
    </row>
    <row r="59" spans="1:35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8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87"/>
      <c r="AG59" s="87"/>
      <c r="AH59" s="17"/>
      <c r="AI59" s="17"/>
    </row>
    <row r="60" spans="1:35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8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87"/>
      <c r="AG60" s="87"/>
      <c r="AH60" s="17"/>
      <c r="AI60" s="17"/>
    </row>
    <row r="61" spans="1:35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8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87"/>
      <c r="AG61" s="87"/>
      <c r="AH61" s="17"/>
      <c r="AI61" s="17"/>
    </row>
    <row r="62" spans="1:35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8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87"/>
      <c r="AG62" s="87"/>
      <c r="AH62" s="17"/>
      <c r="AI62" s="17"/>
    </row>
    <row r="63" spans="1:35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8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87"/>
      <c r="AG63" s="87"/>
      <c r="AH63" s="17"/>
      <c r="AI63" s="17"/>
    </row>
    <row r="64" spans="1:35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8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87"/>
      <c r="AG64" s="87"/>
      <c r="AH64" s="17"/>
      <c r="AI64" s="17"/>
    </row>
    <row r="65" spans="1:35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8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87"/>
      <c r="AG65" s="87"/>
      <c r="AH65" s="17"/>
      <c r="AI65" s="17"/>
    </row>
    <row r="66" spans="1:35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8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87"/>
      <c r="AG66" s="87"/>
      <c r="AH66" s="17"/>
      <c r="AI66" s="17"/>
    </row>
    <row r="67" spans="1:35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8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87"/>
      <c r="AG67" s="87"/>
      <c r="AH67" s="17"/>
      <c r="AI67" s="17"/>
    </row>
    <row r="68" spans="1:35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8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87"/>
      <c r="AG68" s="87"/>
      <c r="AH68" s="17"/>
      <c r="AI68" s="17"/>
    </row>
    <row r="69" spans="1:35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8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87"/>
      <c r="AG69" s="87"/>
      <c r="AH69" s="17"/>
      <c r="AI69" s="17"/>
    </row>
    <row r="70" spans="1:35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8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87"/>
      <c r="AG70" s="87"/>
      <c r="AH70" s="17"/>
      <c r="AI70" s="17"/>
    </row>
    <row r="71" spans="1:35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8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87"/>
      <c r="AG71" s="87"/>
      <c r="AH71" s="17"/>
      <c r="AI71" s="17"/>
    </row>
    <row r="72" spans="1:35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8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87"/>
      <c r="AG72" s="87"/>
      <c r="AH72" s="17"/>
      <c r="AI72" s="17"/>
    </row>
    <row r="73" spans="1:35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8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87"/>
      <c r="AG73" s="87"/>
      <c r="AH73" s="17"/>
      <c r="AI73" s="17"/>
    </row>
    <row r="74" spans="1:35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8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87"/>
      <c r="AG74" s="87"/>
      <c r="AH74" s="17"/>
      <c r="AI74" s="17"/>
    </row>
    <row r="75" spans="1:35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8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87"/>
      <c r="AG75" s="87"/>
      <c r="AH75" s="17"/>
      <c r="AI75" s="17"/>
    </row>
    <row r="76" spans="1:35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8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87"/>
      <c r="AG76" s="87"/>
      <c r="AH76" s="17"/>
      <c r="AI76" s="17"/>
    </row>
    <row r="77" spans="1:35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8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87"/>
      <c r="AG77" s="87"/>
      <c r="AH77" s="17"/>
      <c r="AI77" s="17"/>
    </row>
    <row r="78" spans="1:35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8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87"/>
      <c r="AG78" s="87"/>
      <c r="AH78" s="17"/>
      <c r="AI78" s="17"/>
    </row>
    <row r="79" spans="1:35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8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87"/>
      <c r="AG79" s="87"/>
      <c r="AH79" s="17"/>
      <c r="AI79" s="17"/>
    </row>
    <row r="80" spans="1:35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8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87"/>
      <c r="AG80" s="87"/>
      <c r="AH80" s="17"/>
      <c r="AI80" s="17"/>
    </row>
    <row r="81" spans="1:35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8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87"/>
      <c r="AG81" s="87"/>
      <c r="AH81" s="17"/>
      <c r="AI81" s="17"/>
    </row>
    <row r="82" spans="1:35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8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87"/>
      <c r="AG82" s="87"/>
      <c r="AH82" s="17"/>
      <c r="AI82" s="17"/>
    </row>
    <row r="83" spans="1:35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8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87"/>
      <c r="AG83" s="87"/>
      <c r="AH83" s="17"/>
      <c r="AI83" s="17"/>
    </row>
    <row r="84" spans="1:35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8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87"/>
      <c r="AG84" s="87"/>
      <c r="AH84" s="17"/>
      <c r="AI84" s="17"/>
    </row>
    <row r="85" spans="1:35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8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87"/>
      <c r="AG85" s="87"/>
      <c r="AH85" s="17"/>
      <c r="AI85" s="17"/>
    </row>
    <row r="86" spans="1:35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8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87"/>
      <c r="AG86" s="87"/>
      <c r="AH86" s="17"/>
      <c r="AI86" s="17"/>
    </row>
    <row r="87" spans="1:35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8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87"/>
      <c r="AG87" s="87"/>
      <c r="AH87" s="17"/>
      <c r="AI87" s="17"/>
    </row>
    <row r="88" spans="1:35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8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87"/>
      <c r="AG88" s="87"/>
      <c r="AH88" s="17"/>
      <c r="AI88" s="17"/>
    </row>
    <row r="89" spans="1:35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8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87"/>
      <c r="AG89" s="87"/>
      <c r="AH89" s="17"/>
      <c r="AI89" s="17"/>
    </row>
    <row r="90" spans="1:35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8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87"/>
      <c r="AG90" s="87"/>
      <c r="AH90" s="17"/>
      <c r="AI90" s="17"/>
    </row>
    <row r="91" spans="1:35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8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87"/>
      <c r="AG91" s="87"/>
      <c r="AH91" s="17"/>
      <c r="AI91" s="17"/>
    </row>
    <row r="92" spans="1:35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8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87"/>
      <c r="AG92" s="87"/>
      <c r="AH92" s="17"/>
      <c r="AI92" s="17"/>
    </row>
    <row r="93" spans="1:35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8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87"/>
      <c r="AG93" s="87"/>
      <c r="AH93" s="17"/>
      <c r="AI93" s="17"/>
    </row>
    <row r="94" spans="1:35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8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87"/>
      <c r="AG94" s="87"/>
      <c r="AH94" s="17"/>
      <c r="AI94" s="17"/>
    </row>
    <row r="95" spans="1:35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8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87"/>
      <c r="AG95" s="87"/>
      <c r="AH95" s="17"/>
      <c r="AI95" s="17"/>
    </row>
    <row r="96" spans="1:35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8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87"/>
      <c r="AG96" s="87"/>
      <c r="AH96" s="17"/>
      <c r="AI96" s="17"/>
    </row>
    <row r="97" spans="1:35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8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87"/>
      <c r="AG97" s="87"/>
      <c r="AH97" s="17"/>
      <c r="AI97" s="17"/>
    </row>
    <row r="98" spans="1:35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8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87"/>
      <c r="AG98" s="87"/>
      <c r="AH98" s="17"/>
      <c r="AI98" s="17"/>
    </row>
    <row r="99" spans="1:35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8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87"/>
      <c r="AG99" s="87"/>
      <c r="AH99" s="17"/>
      <c r="AI99" s="17"/>
    </row>
    <row r="100" spans="1:35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8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87"/>
      <c r="AG100" s="87"/>
      <c r="AH100" s="17"/>
      <c r="AI100" s="17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M43:T43"/>
    <mergeCell ref="Z43:AF43"/>
    <mergeCell ref="A44:D44"/>
    <mergeCell ref="AE41:AH41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I5:AI7"/>
    <mergeCell ref="I1:U1"/>
    <mergeCell ref="V1:AA1"/>
    <mergeCell ref="A2:D2"/>
    <mergeCell ref="A3:D3"/>
    <mergeCell ref="L3:P3"/>
    <mergeCell ref="Q3:AA3"/>
    <mergeCell ref="E5:AH5"/>
    <mergeCell ref="A5:A7"/>
    <mergeCell ref="B5:D7"/>
    <mergeCell ref="B8:D8"/>
    <mergeCell ref="B9:D9"/>
    <mergeCell ref="A10:A11"/>
    <mergeCell ref="B10:C11"/>
    <mergeCell ref="B12:D12"/>
  </mergeCells>
  <pageMargins left="0.43307086614173229" right="0.39370078740157483" top="0.31496062992125984" bottom="0.31496062992125984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1000"/>
  <sheetViews>
    <sheetView showGridLines="0" topLeftCell="D1" workbookViewId="0">
      <selection activeCell="U23" sqref="U23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13" width="4.7109375" customWidth="1"/>
    <col min="14" max="21" width="5.85546875" bestFit="1" customWidth="1"/>
    <col min="22" max="22" width="6.7109375" customWidth="1"/>
    <col min="23" max="35" width="5.85546875" bestFit="1" customWidth="1"/>
    <col min="36" max="36" width="4.7109375" customWidth="1"/>
  </cols>
  <sheetData>
    <row r="1" spans="1:36" ht="12.75" customHeight="1" x14ac:dyDescent="0.25">
      <c r="A1" s="87"/>
      <c r="B1" s="87"/>
      <c r="C1" s="87"/>
      <c r="D1" s="87"/>
      <c r="E1" s="87"/>
      <c r="F1" s="87"/>
      <c r="G1" s="87"/>
      <c r="H1" s="87"/>
      <c r="I1" s="250" t="s">
        <v>81</v>
      </c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2"/>
      <c r="W1" s="201"/>
      <c r="X1" s="201"/>
      <c r="Y1" s="201"/>
      <c r="Z1" s="201"/>
      <c r="AA1" s="201"/>
      <c r="AB1" s="195">
        <v>2025</v>
      </c>
      <c r="AC1" s="196"/>
      <c r="AD1" s="196"/>
      <c r="AE1" s="87"/>
      <c r="AF1" s="87"/>
      <c r="AG1" s="87"/>
      <c r="AH1" s="87"/>
      <c r="AI1" s="87"/>
      <c r="AJ1" s="87"/>
    </row>
    <row r="2" spans="1:36" ht="12.75" customHeight="1" x14ac:dyDescent="0.25">
      <c r="A2" s="252">
        <f>'General information'!B1</f>
        <v>0</v>
      </c>
      <c r="B2" s="201"/>
      <c r="C2" s="201"/>
      <c r="D2" s="201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</row>
    <row r="3" spans="1:36" ht="12.75" customHeight="1" x14ac:dyDescent="0.25">
      <c r="A3" s="250" t="s">
        <v>82</v>
      </c>
      <c r="B3" s="251"/>
      <c r="C3" s="251"/>
      <c r="D3" s="251"/>
      <c r="E3" s="87"/>
      <c r="F3" s="87"/>
      <c r="G3" s="87"/>
      <c r="H3" s="87"/>
      <c r="I3" s="87"/>
      <c r="J3" s="87"/>
      <c r="K3" s="87"/>
      <c r="L3" s="250" t="s">
        <v>84</v>
      </c>
      <c r="M3" s="251"/>
      <c r="N3" s="251"/>
      <c r="O3" s="251"/>
      <c r="P3" s="251"/>
      <c r="Q3" s="252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87"/>
      <c r="AC3" s="87"/>
      <c r="AD3" s="87"/>
      <c r="AE3" s="87"/>
      <c r="AF3" s="87"/>
      <c r="AG3" s="87"/>
      <c r="AH3" s="87"/>
      <c r="AI3" s="87"/>
      <c r="AJ3" s="87"/>
    </row>
    <row r="4" spans="1:36" ht="12.7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</row>
    <row r="5" spans="1:36" ht="16.5" customHeight="1" x14ac:dyDescent="0.25">
      <c r="A5" s="254" t="s">
        <v>83</v>
      </c>
      <c r="B5" s="255" t="s">
        <v>92</v>
      </c>
      <c r="C5" s="209"/>
      <c r="D5" s="210"/>
      <c r="E5" s="253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44"/>
      <c r="AJ5" s="249" t="s">
        <v>86</v>
      </c>
    </row>
    <row r="6" spans="1:36" ht="16.5" customHeight="1" x14ac:dyDescent="0.25">
      <c r="A6" s="206"/>
      <c r="B6" s="211"/>
      <c r="C6" s="196"/>
      <c r="D6" s="212"/>
      <c r="E6" s="104">
        <f>+September!AH6+1</f>
        <v>46296</v>
      </c>
      <c r="F6" s="103">
        <f>+E6+1</f>
        <v>46297</v>
      </c>
      <c r="G6" s="103">
        <f t="shared" ref="G6:AI6" si="0">+F6+1</f>
        <v>46298</v>
      </c>
      <c r="H6" s="103">
        <f t="shared" si="0"/>
        <v>46299</v>
      </c>
      <c r="I6" s="103">
        <f t="shared" si="0"/>
        <v>46300</v>
      </c>
      <c r="J6" s="103">
        <f t="shared" si="0"/>
        <v>46301</v>
      </c>
      <c r="K6" s="103">
        <f t="shared" si="0"/>
        <v>46302</v>
      </c>
      <c r="L6" s="103">
        <f t="shared" si="0"/>
        <v>46303</v>
      </c>
      <c r="M6" s="103">
        <f t="shared" si="0"/>
        <v>46304</v>
      </c>
      <c r="N6" s="103">
        <f t="shared" si="0"/>
        <v>46305</v>
      </c>
      <c r="O6" s="103">
        <f t="shared" si="0"/>
        <v>46306</v>
      </c>
      <c r="P6" s="103">
        <f t="shared" si="0"/>
        <v>46307</v>
      </c>
      <c r="Q6" s="103">
        <f t="shared" si="0"/>
        <v>46308</v>
      </c>
      <c r="R6" s="103">
        <f t="shared" si="0"/>
        <v>46309</v>
      </c>
      <c r="S6" s="103">
        <f t="shared" si="0"/>
        <v>46310</v>
      </c>
      <c r="T6" s="103">
        <f t="shared" si="0"/>
        <v>46311</v>
      </c>
      <c r="U6" s="103">
        <f t="shared" si="0"/>
        <v>46312</v>
      </c>
      <c r="V6" s="103">
        <f t="shared" si="0"/>
        <v>46313</v>
      </c>
      <c r="W6" s="103">
        <f t="shared" si="0"/>
        <v>46314</v>
      </c>
      <c r="X6" s="103">
        <f t="shared" si="0"/>
        <v>46315</v>
      </c>
      <c r="Y6" s="103">
        <f t="shared" si="0"/>
        <v>46316</v>
      </c>
      <c r="Z6" s="103">
        <f t="shared" si="0"/>
        <v>46317</v>
      </c>
      <c r="AA6" s="103">
        <f t="shared" si="0"/>
        <v>46318</v>
      </c>
      <c r="AB6" s="103">
        <f t="shared" si="0"/>
        <v>46319</v>
      </c>
      <c r="AC6" s="103">
        <f t="shared" si="0"/>
        <v>46320</v>
      </c>
      <c r="AD6" s="103">
        <f t="shared" si="0"/>
        <v>46321</v>
      </c>
      <c r="AE6" s="103">
        <f t="shared" si="0"/>
        <v>46322</v>
      </c>
      <c r="AF6" s="103">
        <f t="shared" si="0"/>
        <v>46323</v>
      </c>
      <c r="AG6" s="103">
        <f t="shared" si="0"/>
        <v>46324</v>
      </c>
      <c r="AH6" s="103">
        <f t="shared" si="0"/>
        <v>46325</v>
      </c>
      <c r="AI6" s="103">
        <f t="shared" si="0"/>
        <v>46326</v>
      </c>
      <c r="AJ6" s="198"/>
    </row>
    <row r="7" spans="1:36" ht="16.5" customHeight="1" x14ac:dyDescent="0.25">
      <c r="A7" s="207"/>
      <c r="B7" s="213"/>
      <c r="C7" s="214"/>
      <c r="D7" s="215"/>
      <c r="E7" s="67" t="s">
        <v>132</v>
      </c>
      <c r="F7" s="37" t="str">
        <f t="shared" ref="F7:AI7" si="1">IF(E7="Mon","Tue",IF(E7="Tue","Wed",IF(E7="Wed","Thu",IF(E7="Thu","Fri",IF(E7="Fri","Sat",IF(E7="Sat","Sun",IF(E7="Sun","Mon")))))))</f>
        <v>Fri</v>
      </c>
      <c r="G7" s="37" t="str">
        <f t="shared" si="1"/>
        <v>Sat</v>
      </c>
      <c r="H7" s="37" t="str">
        <f t="shared" si="1"/>
        <v>Sun</v>
      </c>
      <c r="I7" s="37" t="str">
        <f t="shared" si="1"/>
        <v>Mon</v>
      </c>
      <c r="J7" s="37" t="str">
        <f t="shared" si="1"/>
        <v>Tue</v>
      </c>
      <c r="K7" s="37" t="str">
        <f t="shared" si="1"/>
        <v>Wed</v>
      </c>
      <c r="L7" s="19" t="str">
        <f t="shared" si="1"/>
        <v>Thu</v>
      </c>
      <c r="M7" s="37" t="str">
        <f t="shared" si="1"/>
        <v>Fri</v>
      </c>
      <c r="N7" s="37" t="str">
        <f t="shared" si="1"/>
        <v>Sat</v>
      </c>
      <c r="O7" s="37" t="str">
        <f t="shared" si="1"/>
        <v>Sun</v>
      </c>
      <c r="P7" s="37" t="str">
        <f t="shared" si="1"/>
        <v>Mon</v>
      </c>
      <c r="Q7" s="37" t="str">
        <f t="shared" si="1"/>
        <v>Tue</v>
      </c>
      <c r="R7" s="37" t="str">
        <f t="shared" si="1"/>
        <v>Wed</v>
      </c>
      <c r="S7" s="37" t="str">
        <f t="shared" si="1"/>
        <v>Thu</v>
      </c>
      <c r="T7" s="37" t="str">
        <f t="shared" si="1"/>
        <v>Fri</v>
      </c>
      <c r="U7" s="37" t="str">
        <f t="shared" si="1"/>
        <v>Sat</v>
      </c>
      <c r="V7" s="37" t="str">
        <f t="shared" si="1"/>
        <v>Sun</v>
      </c>
      <c r="W7" s="37" t="str">
        <f t="shared" si="1"/>
        <v>Mon</v>
      </c>
      <c r="X7" s="37" t="str">
        <f t="shared" si="1"/>
        <v>Tue</v>
      </c>
      <c r="Y7" s="37" t="str">
        <f t="shared" si="1"/>
        <v>Wed</v>
      </c>
      <c r="Z7" s="37" t="str">
        <f t="shared" si="1"/>
        <v>Thu</v>
      </c>
      <c r="AA7" s="37" t="str">
        <f t="shared" si="1"/>
        <v>Fri</v>
      </c>
      <c r="AB7" s="37" t="str">
        <f t="shared" si="1"/>
        <v>Sat</v>
      </c>
      <c r="AC7" s="37" t="str">
        <f t="shared" si="1"/>
        <v>Sun</v>
      </c>
      <c r="AD7" s="37" t="str">
        <f t="shared" si="1"/>
        <v>Mon</v>
      </c>
      <c r="AE7" s="37" t="str">
        <f t="shared" si="1"/>
        <v>Tue</v>
      </c>
      <c r="AF7" s="37" t="str">
        <f t="shared" si="1"/>
        <v>Wed</v>
      </c>
      <c r="AG7" s="37" t="str">
        <f t="shared" si="1"/>
        <v>Thu</v>
      </c>
      <c r="AH7" s="37" t="str">
        <f t="shared" si="1"/>
        <v>Fri</v>
      </c>
      <c r="AI7" s="46" t="str">
        <f t="shared" si="1"/>
        <v>Sat</v>
      </c>
      <c r="AJ7" s="199"/>
    </row>
    <row r="8" spans="1:36" ht="21" customHeight="1" x14ac:dyDescent="0.25">
      <c r="A8" s="50" t="s">
        <v>30</v>
      </c>
      <c r="B8" s="245" t="s">
        <v>90</v>
      </c>
      <c r="C8" s="184"/>
      <c r="D8" s="185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51" t="s">
        <v>31</v>
      </c>
    </row>
    <row r="9" spans="1:36" ht="21" customHeight="1" x14ac:dyDescent="0.25">
      <c r="A9" s="50" t="s">
        <v>32</v>
      </c>
      <c r="B9" s="245" t="s">
        <v>91</v>
      </c>
      <c r="C9" s="184"/>
      <c r="D9" s="185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51" t="s">
        <v>31</v>
      </c>
    </row>
    <row r="10" spans="1:36" ht="21" customHeight="1" x14ac:dyDescent="0.25">
      <c r="A10" s="246" t="s">
        <v>33</v>
      </c>
      <c r="B10" s="247" t="s">
        <v>93</v>
      </c>
      <c r="C10" s="239"/>
      <c r="D10" s="37" t="s">
        <v>88</v>
      </c>
      <c r="E10" s="37"/>
      <c r="F10" s="37"/>
      <c r="G10" s="37"/>
      <c r="H10" s="37"/>
      <c r="I10" s="37"/>
      <c r="J10" s="37"/>
      <c r="K10" s="37"/>
      <c r="L10" s="19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46"/>
      <c r="AH10" s="46"/>
      <c r="AI10" s="46"/>
      <c r="AJ10" s="51" t="s">
        <v>31</v>
      </c>
    </row>
    <row r="11" spans="1:36" ht="21" customHeight="1" x14ac:dyDescent="0.25">
      <c r="A11" s="187"/>
      <c r="B11" s="240"/>
      <c r="C11" s="241"/>
      <c r="D11" s="39" t="s">
        <v>89</v>
      </c>
      <c r="E11" s="39"/>
      <c r="F11" s="39"/>
      <c r="G11" s="39"/>
      <c r="H11" s="39"/>
      <c r="I11" s="39"/>
      <c r="J11" s="39"/>
      <c r="K11" s="39"/>
      <c r="L11" s="22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47"/>
      <c r="AH11" s="47"/>
      <c r="AI11" s="47"/>
      <c r="AJ11" s="52" t="s">
        <v>31</v>
      </c>
    </row>
    <row r="12" spans="1:36" ht="21" customHeight="1" thickTop="1" thickBot="1" x14ac:dyDescent="0.3">
      <c r="A12" s="53" t="s">
        <v>34</v>
      </c>
      <c r="B12" s="248" t="s">
        <v>94</v>
      </c>
      <c r="C12" s="193"/>
      <c r="D12" s="194"/>
      <c r="E12" s="41">
        <f t="shared" ref="E12:AI12" si="2">E9-E8</f>
        <v>0</v>
      </c>
      <c r="F12" s="41">
        <f t="shared" si="2"/>
        <v>0</v>
      </c>
      <c r="G12" s="41">
        <f t="shared" si="2"/>
        <v>0</v>
      </c>
      <c r="H12" s="41">
        <f t="shared" si="2"/>
        <v>0</v>
      </c>
      <c r="I12" s="41">
        <f t="shared" si="2"/>
        <v>0</v>
      </c>
      <c r="J12" s="41">
        <f t="shared" si="2"/>
        <v>0</v>
      </c>
      <c r="K12" s="41">
        <f t="shared" si="2"/>
        <v>0</v>
      </c>
      <c r="L12" s="27">
        <f t="shared" si="2"/>
        <v>0</v>
      </c>
      <c r="M12" s="41">
        <f t="shared" si="2"/>
        <v>0</v>
      </c>
      <c r="N12" s="41">
        <f t="shared" si="2"/>
        <v>0</v>
      </c>
      <c r="O12" s="41">
        <f t="shared" si="2"/>
        <v>0</v>
      </c>
      <c r="P12" s="41">
        <f t="shared" si="2"/>
        <v>0</v>
      </c>
      <c r="Q12" s="41">
        <f t="shared" si="2"/>
        <v>0</v>
      </c>
      <c r="R12" s="41">
        <f t="shared" si="2"/>
        <v>0</v>
      </c>
      <c r="S12" s="41">
        <f t="shared" si="2"/>
        <v>0</v>
      </c>
      <c r="T12" s="41">
        <f t="shared" si="2"/>
        <v>0</v>
      </c>
      <c r="U12" s="41">
        <f t="shared" si="2"/>
        <v>0</v>
      </c>
      <c r="V12" s="41">
        <f t="shared" si="2"/>
        <v>0</v>
      </c>
      <c r="W12" s="41">
        <f t="shared" si="2"/>
        <v>0</v>
      </c>
      <c r="X12" s="41">
        <f t="shared" si="2"/>
        <v>0</v>
      </c>
      <c r="Y12" s="41">
        <f t="shared" si="2"/>
        <v>0</v>
      </c>
      <c r="Z12" s="41">
        <f t="shared" si="2"/>
        <v>0</v>
      </c>
      <c r="AA12" s="41">
        <f t="shared" si="2"/>
        <v>0</v>
      </c>
      <c r="AB12" s="41">
        <f t="shared" si="2"/>
        <v>0</v>
      </c>
      <c r="AC12" s="41">
        <f t="shared" si="2"/>
        <v>0</v>
      </c>
      <c r="AD12" s="41">
        <f t="shared" si="2"/>
        <v>0</v>
      </c>
      <c r="AE12" s="41">
        <f t="shared" si="2"/>
        <v>0</v>
      </c>
      <c r="AF12" s="41">
        <f t="shared" si="2"/>
        <v>0</v>
      </c>
      <c r="AG12" s="41">
        <f t="shared" si="2"/>
        <v>0</v>
      </c>
      <c r="AH12" s="41">
        <f t="shared" si="2"/>
        <v>0</v>
      </c>
      <c r="AI12" s="54">
        <f t="shared" si="2"/>
        <v>0</v>
      </c>
      <c r="AJ12" s="55">
        <f t="shared" ref="AJ12:AJ40" si="3">SUM(E12:AI12)</f>
        <v>0</v>
      </c>
    </row>
    <row r="13" spans="1:36" ht="21" customHeight="1" thickTop="1" x14ac:dyDescent="0.25">
      <c r="A13" s="28" t="s">
        <v>35</v>
      </c>
      <c r="B13" s="216" t="s">
        <v>80</v>
      </c>
      <c r="C13" s="231"/>
      <c r="D13" s="217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83"/>
      <c r="AH13" s="83"/>
      <c r="AI13" s="83"/>
      <c r="AJ13" s="84">
        <f t="shared" si="3"/>
        <v>0</v>
      </c>
    </row>
    <row r="14" spans="1:36" ht="21" customHeight="1" x14ac:dyDescent="0.25">
      <c r="A14" s="20" t="s">
        <v>36</v>
      </c>
      <c r="B14" s="183" t="s">
        <v>95</v>
      </c>
      <c r="C14" s="184"/>
      <c r="D14" s="185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79"/>
      <c r="AH14" s="79"/>
      <c r="AI14" s="79"/>
      <c r="AJ14" s="21">
        <f t="shared" si="3"/>
        <v>0</v>
      </c>
    </row>
    <row r="15" spans="1:36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79"/>
      <c r="AH15" s="79"/>
      <c r="AI15" s="79"/>
      <c r="AJ15" s="21">
        <f t="shared" si="3"/>
        <v>0</v>
      </c>
    </row>
    <row r="16" spans="1:36" ht="21" customHeight="1" x14ac:dyDescent="0.25">
      <c r="A16" s="20"/>
      <c r="B16" s="220"/>
      <c r="C16" s="220"/>
      <c r="D16" s="140" t="s">
        <v>97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79"/>
      <c r="AH16" s="79"/>
      <c r="AI16" s="79"/>
      <c r="AJ16" s="21">
        <f t="shared" si="3"/>
        <v>0</v>
      </c>
    </row>
    <row r="17" spans="1:36" ht="21" customHeight="1" x14ac:dyDescent="0.25">
      <c r="A17" s="20"/>
      <c r="B17" s="220"/>
      <c r="C17" s="232"/>
      <c r="D17" s="140" t="s">
        <v>98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79"/>
      <c r="AH17" s="79"/>
      <c r="AI17" s="79"/>
      <c r="AJ17" s="21">
        <f t="shared" si="3"/>
        <v>0</v>
      </c>
    </row>
    <row r="18" spans="1:36" ht="21" customHeight="1" x14ac:dyDescent="0.25">
      <c r="A18" s="20"/>
      <c r="B18" s="220"/>
      <c r="C18" s="183" t="s">
        <v>100</v>
      </c>
      <c r="D18" s="185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79"/>
      <c r="AH18" s="79"/>
      <c r="AI18" s="79"/>
      <c r="AJ18" s="21">
        <f t="shared" si="3"/>
        <v>0</v>
      </c>
    </row>
    <row r="19" spans="1:36" ht="30" customHeight="1" x14ac:dyDescent="0.25">
      <c r="A19" s="20"/>
      <c r="B19" s="220"/>
      <c r="C19" s="224" t="s">
        <v>105</v>
      </c>
      <c r="D19" s="185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79"/>
      <c r="AH19" s="79"/>
      <c r="AI19" s="79"/>
      <c r="AJ19" s="21">
        <f t="shared" si="3"/>
        <v>0</v>
      </c>
    </row>
    <row r="20" spans="1:36" ht="21" customHeight="1" x14ac:dyDescent="0.25">
      <c r="A20" s="20"/>
      <c r="B20" s="220"/>
      <c r="C20" s="183" t="s">
        <v>106</v>
      </c>
      <c r="D20" s="185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79"/>
      <c r="AH20" s="79"/>
      <c r="AI20" s="79"/>
      <c r="AJ20" s="21">
        <f t="shared" si="3"/>
        <v>0</v>
      </c>
    </row>
    <row r="21" spans="1:36" ht="21" customHeight="1" x14ac:dyDescent="0.25">
      <c r="A21" s="20"/>
      <c r="B21" s="220"/>
      <c r="C21" s="183" t="s">
        <v>107</v>
      </c>
      <c r="D21" s="185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79"/>
      <c r="AH21" s="79"/>
      <c r="AI21" s="79"/>
      <c r="AJ21" s="21">
        <f t="shared" si="3"/>
        <v>0</v>
      </c>
    </row>
    <row r="22" spans="1:36" ht="21" customHeight="1" x14ac:dyDescent="0.25">
      <c r="A22" s="20"/>
      <c r="B22" s="220"/>
      <c r="C22" s="183" t="s">
        <v>108</v>
      </c>
      <c r="D22" s="185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79"/>
      <c r="AH22" s="79"/>
      <c r="AI22" s="79"/>
      <c r="AJ22" s="21">
        <f t="shared" si="3"/>
        <v>0</v>
      </c>
    </row>
    <row r="23" spans="1:36" ht="21" customHeight="1" x14ac:dyDescent="0.25">
      <c r="A23" s="20"/>
      <c r="B23" s="220"/>
      <c r="C23" s="229" t="s">
        <v>122</v>
      </c>
      <c r="D23" s="23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79"/>
      <c r="AH23" s="79"/>
      <c r="AI23" s="79"/>
      <c r="AJ23" s="21">
        <f t="shared" si="3"/>
        <v>0</v>
      </c>
    </row>
    <row r="24" spans="1:36" ht="21" customHeight="1" x14ac:dyDescent="0.25">
      <c r="A24" s="20"/>
      <c r="B24" s="220"/>
      <c r="C24" s="183" t="s">
        <v>113</v>
      </c>
      <c r="D24" s="185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79"/>
      <c r="AH24" s="79"/>
      <c r="AI24" s="79"/>
      <c r="AJ24" s="21">
        <f t="shared" si="3"/>
        <v>0</v>
      </c>
    </row>
    <row r="25" spans="1:36" ht="30" customHeight="1" x14ac:dyDescent="0.25">
      <c r="A25" s="20"/>
      <c r="B25" s="220"/>
      <c r="C25" s="224" t="s">
        <v>114</v>
      </c>
      <c r="D25" s="185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79"/>
      <c r="AH25" s="79"/>
      <c r="AI25" s="79"/>
      <c r="AJ25" s="21">
        <f t="shared" si="3"/>
        <v>0</v>
      </c>
    </row>
    <row r="26" spans="1:36" ht="21" customHeight="1" x14ac:dyDescent="0.25">
      <c r="A26" s="20"/>
      <c r="B26" s="220"/>
      <c r="C26" s="183" t="s">
        <v>115</v>
      </c>
      <c r="D26" s="185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79"/>
      <c r="AH26" s="79"/>
      <c r="AI26" s="79"/>
      <c r="AJ26" s="21">
        <f t="shared" si="3"/>
        <v>0</v>
      </c>
    </row>
    <row r="27" spans="1:36" ht="21" customHeight="1" x14ac:dyDescent="0.25">
      <c r="A27" s="20"/>
      <c r="B27" s="220"/>
      <c r="C27" s="183" t="s">
        <v>116</v>
      </c>
      <c r="D27" s="185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79"/>
      <c r="AH27" s="79"/>
      <c r="AI27" s="79"/>
      <c r="AJ27" s="21">
        <f t="shared" si="3"/>
        <v>0</v>
      </c>
    </row>
    <row r="28" spans="1:36" ht="21" customHeight="1" x14ac:dyDescent="0.25">
      <c r="A28" s="20"/>
      <c r="B28" s="220"/>
      <c r="C28" s="225" t="s">
        <v>121</v>
      </c>
      <c r="D28" s="226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79"/>
      <c r="AH28" s="79"/>
      <c r="AI28" s="79"/>
      <c r="AJ28" s="21">
        <f t="shared" si="3"/>
        <v>0</v>
      </c>
    </row>
    <row r="29" spans="1:36" ht="21" customHeight="1" x14ac:dyDescent="0.25">
      <c r="A29" s="20"/>
      <c r="B29" s="220"/>
      <c r="C29" s="183" t="s">
        <v>120</v>
      </c>
      <c r="D29" s="22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79"/>
      <c r="AH29" s="79"/>
      <c r="AI29" s="79"/>
      <c r="AJ29" s="21">
        <f t="shared" si="3"/>
        <v>0</v>
      </c>
    </row>
    <row r="30" spans="1:36" ht="21" customHeight="1" x14ac:dyDescent="0.25">
      <c r="A30" s="20"/>
      <c r="B30" s="220"/>
      <c r="C30" s="183" t="s">
        <v>117</v>
      </c>
      <c r="D30" s="18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79"/>
      <c r="AH30" s="79"/>
      <c r="AI30" s="79"/>
      <c r="AJ30" s="21">
        <f t="shared" si="3"/>
        <v>0</v>
      </c>
    </row>
    <row r="31" spans="1:36" ht="21" customHeight="1" x14ac:dyDescent="0.25">
      <c r="A31" s="20"/>
      <c r="B31" s="220"/>
      <c r="C31" s="183" t="s">
        <v>118</v>
      </c>
      <c r="D31" s="185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79"/>
      <c r="AH31" s="79"/>
      <c r="AI31" s="79"/>
      <c r="AJ31" s="21">
        <f t="shared" si="3"/>
        <v>0</v>
      </c>
    </row>
    <row r="32" spans="1:36" ht="21" customHeight="1" x14ac:dyDescent="0.25">
      <c r="A32" s="20"/>
      <c r="B32" s="220"/>
      <c r="C32" s="183" t="s">
        <v>119</v>
      </c>
      <c r="D32" s="22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79"/>
      <c r="AH32" s="79"/>
      <c r="AI32" s="79"/>
      <c r="AJ32" s="21">
        <f t="shared" si="3"/>
        <v>0</v>
      </c>
    </row>
    <row r="33" spans="1:36" ht="21" customHeight="1" x14ac:dyDescent="0.25">
      <c r="A33" s="20"/>
      <c r="B33" s="220"/>
      <c r="C33" s="183" t="s">
        <v>111</v>
      </c>
      <c r="D33" s="18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79"/>
      <c r="AH33" s="79"/>
      <c r="AI33" s="79"/>
      <c r="AJ33" s="21">
        <f t="shared" si="3"/>
        <v>0</v>
      </c>
    </row>
    <row r="34" spans="1:36" ht="21" customHeight="1" thickBot="1" x14ac:dyDescent="0.3">
      <c r="A34" s="31"/>
      <c r="B34" s="221"/>
      <c r="C34" s="222" t="s">
        <v>112</v>
      </c>
      <c r="D34" s="223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80"/>
      <c r="AH34" s="80"/>
      <c r="AI34" s="80"/>
      <c r="AJ34" s="24">
        <f t="shared" si="3"/>
        <v>0</v>
      </c>
    </row>
    <row r="35" spans="1:36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83"/>
      <c r="AH35" s="83"/>
      <c r="AI35" s="83"/>
      <c r="AJ35" s="84">
        <f t="shared" si="3"/>
        <v>0</v>
      </c>
    </row>
    <row r="36" spans="1:36" ht="21" customHeight="1" x14ac:dyDescent="0.25">
      <c r="A36" s="206"/>
      <c r="B36" s="220"/>
      <c r="C36" s="183" t="s">
        <v>102</v>
      </c>
      <c r="D36" s="185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79"/>
      <c r="AH36" s="79"/>
      <c r="AI36" s="79"/>
      <c r="AJ36" s="21">
        <f t="shared" si="3"/>
        <v>0</v>
      </c>
    </row>
    <row r="37" spans="1:36" ht="21" customHeight="1" thickBot="1" x14ac:dyDescent="0.3">
      <c r="A37" s="187"/>
      <c r="B37" s="221"/>
      <c r="C37" s="222" t="s">
        <v>103</v>
      </c>
      <c r="D37" s="223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80"/>
      <c r="AH37" s="80"/>
      <c r="AI37" s="80"/>
      <c r="AJ37" s="24">
        <f t="shared" si="3"/>
        <v>0</v>
      </c>
    </row>
    <row r="38" spans="1:36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83"/>
      <c r="AH38" s="83"/>
      <c r="AI38" s="83"/>
      <c r="AJ38" s="84">
        <f t="shared" si="3"/>
        <v>0</v>
      </c>
    </row>
    <row r="39" spans="1:36" ht="21" customHeight="1" x14ac:dyDescent="0.25">
      <c r="A39" s="206"/>
      <c r="B39" s="220"/>
      <c r="C39" s="183" t="s">
        <v>102</v>
      </c>
      <c r="D39" s="185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9"/>
      <c r="AH39" s="79"/>
      <c r="AI39" s="79"/>
      <c r="AJ39" s="21">
        <f t="shared" si="3"/>
        <v>0</v>
      </c>
    </row>
    <row r="40" spans="1:36" ht="21" customHeight="1" thickBot="1" x14ac:dyDescent="0.3">
      <c r="A40" s="187"/>
      <c r="B40" s="221"/>
      <c r="C40" s="222" t="s">
        <v>103</v>
      </c>
      <c r="D40" s="22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85"/>
      <c r="AH40" s="85"/>
      <c r="AI40" s="85"/>
      <c r="AJ40" s="86">
        <f t="shared" si="3"/>
        <v>0</v>
      </c>
    </row>
    <row r="41" spans="1:36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2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5"/>
      <c r="AI41" s="236"/>
      <c r="AJ41" s="33">
        <f>SUM(AJ12:AJ40)</f>
        <v>0</v>
      </c>
    </row>
    <row r="42" spans="1:36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12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27"/>
      <c r="AG42" s="127"/>
      <c r="AH42" s="17"/>
      <c r="AI42" s="17"/>
      <c r="AJ42" s="17"/>
    </row>
    <row r="43" spans="1:36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12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  <c r="AJ43" s="17"/>
    </row>
    <row r="44" spans="1:36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12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27"/>
      <c r="AG44" s="127"/>
      <c r="AH44" s="17"/>
      <c r="AI44" s="17"/>
      <c r="AJ44" s="17"/>
    </row>
    <row r="45" spans="1:36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2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27"/>
      <c r="AG45" s="127"/>
      <c r="AH45" s="17"/>
      <c r="AI45" s="17"/>
      <c r="AJ45" s="17"/>
    </row>
    <row r="46" spans="1:36" ht="12.75" customHeight="1" x14ac:dyDescent="0.2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</row>
    <row r="47" spans="1:36" ht="12.75" customHeight="1" x14ac:dyDescent="0.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</row>
    <row r="48" spans="1:36" ht="12.75" customHeight="1" x14ac:dyDescent="0.2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</row>
    <row r="49" spans="1:36" ht="12.75" customHeight="1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</row>
    <row r="50" spans="1:36" ht="12.75" customHeight="1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</row>
    <row r="51" spans="1:36" ht="12.75" customHeight="1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</row>
    <row r="52" spans="1:36" ht="12.75" customHeight="1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</row>
    <row r="53" spans="1:36" ht="12.75" customHeight="1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</row>
    <row r="54" spans="1:36" ht="12.75" customHeight="1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</row>
    <row r="55" spans="1:36" ht="12.75" customHeight="1" x14ac:dyDescent="0.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</row>
    <row r="56" spans="1:36" ht="12.75" customHeight="1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</row>
    <row r="57" spans="1:36" ht="12.75" customHeight="1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</row>
    <row r="58" spans="1:36" ht="12.75" customHeight="1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</row>
    <row r="59" spans="1:36" ht="12.75" customHeight="1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</row>
    <row r="60" spans="1:36" ht="12.75" customHeight="1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</row>
    <row r="61" spans="1:36" ht="12.75" customHeight="1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</row>
    <row r="62" spans="1:36" ht="12.75" customHeight="1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</row>
    <row r="63" spans="1:36" ht="12.75" customHeight="1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</row>
    <row r="64" spans="1:36" ht="12.75" customHeight="1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</row>
    <row r="65" spans="1:36" ht="12.75" customHeight="1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</row>
    <row r="66" spans="1:36" ht="12.75" customHeight="1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</row>
    <row r="67" spans="1:36" ht="12.75" customHeight="1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</row>
    <row r="68" spans="1:36" ht="12.75" customHeight="1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</row>
    <row r="69" spans="1:36" ht="12.75" customHeight="1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</row>
    <row r="70" spans="1:36" ht="12.75" customHeight="1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</row>
    <row r="71" spans="1:36" ht="12.75" customHeight="1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</row>
    <row r="72" spans="1:36" ht="12.75" customHeight="1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</row>
    <row r="73" spans="1:36" ht="12.75" customHeight="1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</row>
    <row r="74" spans="1:36" ht="12.75" customHeight="1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</row>
    <row r="75" spans="1:36" ht="12.75" customHeight="1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</row>
    <row r="76" spans="1:36" ht="12.75" customHeight="1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</row>
    <row r="77" spans="1:36" ht="12.75" customHeight="1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</row>
    <row r="78" spans="1:36" ht="12.75" customHeight="1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</row>
    <row r="79" spans="1:36" ht="12.75" customHeight="1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</row>
    <row r="80" spans="1:36" ht="12.75" customHeight="1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</row>
    <row r="81" spans="1:36" ht="12.75" customHeight="1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</row>
    <row r="82" spans="1:36" ht="12.75" customHeight="1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</row>
    <row r="83" spans="1:36" ht="12.75" customHeight="1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</row>
    <row r="84" spans="1:36" ht="12.75" customHeight="1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</row>
    <row r="85" spans="1:36" ht="12.75" customHeight="1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</row>
    <row r="86" spans="1:36" ht="12.75" customHeight="1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</row>
    <row r="87" spans="1:36" ht="12.75" customHeight="1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</row>
    <row r="88" spans="1:36" ht="12.75" customHeight="1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</row>
    <row r="89" spans="1:36" ht="12.75" customHeight="1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</row>
    <row r="90" spans="1:36" ht="12.75" customHeight="1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</row>
    <row r="91" spans="1:36" ht="12.75" customHeight="1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</row>
    <row r="92" spans="1:36" ht="12.75" customHeight="1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</row>
    <row r="93" spans="1:36" ht="12.75" customHeight="1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</row>
    <row r="94" spans="1:36" ht="12.75" customHeight="1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</row>
    <row r="95" spans="1:36" ht="12.75" customHeight="1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</row>
    <row r="96" spans="1:36" ht="12.75" customHeight="1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</row>
    <row r="97" spans="1:36" ht="12.75" customHeight="1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</row>
    <row r="98" spans="1:36" ht="12.75" customHeight="1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</row>
    <row r="99" spans="1:36" ht="12.75" customHeight="1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</row>
    <row r="100" spans="1:36" ht="12.75" customHeight="1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B8:D8"/>
    <mergeCell ref="B9:D9"/>
    <mergeCell ref="A10:A11"/>
    <mergeCell ref="B10:C11"/>
    <mergeCell ref="B12:D12"/>
  </mergeCells>
  <pageMargins left="0.43307086614173229" right="0.39370078740157483" top="0.31496062992125984" bottom="0.31496062992125984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I1000"/>
  <sheetViews>
    <sheetView showGridLines="0" topLeftCell="D2" workbookViewId="0">
      <selection activeCell="S25" sqref="S25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13" width="4.7109375" customWidth="1"/>
    <col min="14" max="33" width="5.85546875" customWidth="1"/>
    <col min="34" max="34" width="5.85546875" bestFit="1" customWidth="1"/>
    <col min="35" max="35" width="4.7109375" customWidth="1"/>
  </cols>
  <sheetData>
    <row r="1" spans="1:35" ht="12.75" customHeight="1" x14ac:dyDescent="0.25">
      <c r="A1" s="17"/>
      <c r="B1" s="17"/>
      <c r="C1" s="17"/>
      <c r="D1" s="17"/>
      <c r="E1" s="17"/>
      <c r="F1" s="17"/>
      <c r="G1" s="17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87"/>
      <c r="AG1" s="87"/>
      <c r="AH1" s="17"/>
      <c r="AI1" s="17"/>
    </row>
    <row r="2" spans="1:35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17"/>
      <c r="H2" s="17"/>
      <c r="I2" s="17"/>
      <c r="J2" s="8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87"/>
      <c r="AG2" s="87"/>
      <c r="AH2" s="17"/>
      <c r="AI2" s="17"/>
    </row>
    <row r="3" spans="1:35" ht="12.75" customHeight="1" x14ac:dyDescent="0.25">
      <c r="A3" s="195" t="s">
        <v>82</v>
      </c>
      <c r="B3" s="196"/>
      <c r="C3" s="196"/>
      <c r="D3" s="196"/>
      <c r="E3" s="17"/>
      <c r="F3" s="17"/>
      <c r="G3" s="17"/>
      <c r="H3" s="17"/>
      <c r="I3" s="17"/>
      <c r="J3" s="8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87"/>
      <c r="AG3" s="87"/>
      <c r="AH3" s="17"/>
      <c r="AI3" s="17"/>
    </row>
    <row r="4" spans="1:35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8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87"/>
      <c r="AG4" s="87"/>
      <c r="AH4" s="17"/>
      <c r="AI4" s="17"/>
    </row>
    <row r="5" spans="1:35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44"/>
      <c r="AI5" s="242" t="s">
        <v>86</v>
      </c>
    </row>
    <row r="6" spans="1:35" ht="16.5" customHeight="1" x14ac:dyDescent="0.25">
      <c r="A6" s="206"/>
      <c r="B6" s="211"/>
      <c r="C6" s="196"/>
      <c r="D6" s="212"/>
      <c r="E6" s="104">
        <f>+October!AI6+1</f>
        <v>46327</v>
      </c>
      <c r="F6" s="103">
        <f>+E6+1</f>
        <v>46328</v>
      </c>
      <c r="G6" s="103">
        <f t="shared" ref="G6:AH6" si="0">+F6+1</f>
        <v>46329</v>
      </c>
      <c r="H6" s="103">
        <f t="shared" si="0"/>
        <v>46330</v>
      </c>
      <c r="I6" s="103">
        <f t="shared" si="0"/>
        <v>46331</v>
      </c>
      <c r="J6" s="103">
        <f t="shared" si="0"/>
        <v>46332</v>
      </c>
      <c r="K6" s="103">
        <f t="shared" si="0"/>
        <v>46333</v>
      </c>
      <c r="L6" s="103">
        <f t="shared" si="0"/>
        <v>46334</v>
      </c>
      <c r="M6" s="103">
        <f t="shared" si="0"/>
        <v>46335</v>
      </c>
      <c r="N6" s="103">
        <f t="shared" si="0"/>
        <v>46336</v>
      </c>
      <c r="O6" s="103">
        <f t="shared" si="0"/>
        <v>46337</v>
      </c>
      <c r="P6" s="103">
        <f t="shared" si="0"/>
        <v>46338</v>
      </c>
      <c r="Q6" s="103">
        <f t="shared" si="0"/>
        <v>46339</v>
      </c>
      <c r="R6" s="103">
        <f t="shared" si="0"/>
        <v>46340</v>
      </c>
      <c r="S6" s="103">
        <f t="shared" si="0"/>
        <v>46341</v>
      </c>
      <c r="T6" s="103">
        <f t="shared" si="0"/>
        <v>46342</v>
      </c>
      <c r="U6" s="103">
        <f t="shared" si="0"/>
        <v>46343</v>
      </c>
      <c r="V6" s="103">
        <f t="shared" si="0"/>
        <v>46344</v>
      </c>
      <c r="W6" s="103">
        <f t="shared" si="0"/>
        <v>46345</v>
      </c>
      <c r="X6" s="103">
        <f t="shared" si="0"/>
        <v>46346</v>
      </c>
      <c r="Y6" s="103">
        <f t="shared" si="0"/>
        <v>46347</v>
      </c>
      <c r="Z6" s="103">
        <f t="shared" si="0"/>
        <v>46348</v>
      </c>
      <c r="AA6" s="103">
        <f t="shared" si="0"/>
        <v>46349</v>
      </c>
      <c r="AB6" s="103">
        <f t="shared" si="0"/>
        <v>46350</v>
      </c>
      <c r="AC6" s="103">
        <f t="shared" si="0"/>
        <v>46351</v>
      </c>
      <c r="AD6" s="103">
        <f t="shared" si="0"/>
        <v>46352</v>
      </c>
      <c r="AE6" s="103">
        <f t="shared" si="0"/>
        <v>46353</v>
      </c>
      <c r="AF6" s="103">
        <f t="shared" si="0"/>
        <v>46354</v>
      </c>
      <c r="AG6" s="103">
        <f t="shared" si="0"/>
        <v>46355</v>
      </c>
      <c r="AH6" s="103">
        <f t="shared" si="0"/>
        <v>46356</v>
      </c>
      <c r="AI6" s="198"/>
    </row>
    <row r="7" spans="1:35" ht="16.5" customHeight="1" x14ac:dyDescent="0.25">
      <c r="A7" s="207"/>
      <c r="B7" s="213"/>
      <c r="C7" s="214"/>
      <c r="D7" s="215"/>
      <c r="E7" s="130" t="s">
        <v>133</v>
      </c>
      <c r="F7" s="19" t="str">
        <f t="shared" ref="F7:AH7" si="1">IF(E7="Mon","Tue",IF(E7="Tue","Wed",IF(E7="Wed","Thu",IF(E7="Thu","Fri",IF(E7="Fri","Sat",IF(E7="Sat","Sun",IF(E7="Sun","Mon")))))))</f>
        <v>Mon</v>
      </c>
      <c r="G7" s="19" t="str">
        <f t="shared" si="1"/>
        <v>Tue</v>
      </c>
      <c r="H7" s="19" t="str">
        <f t="shared" si="1"/>
        <v>Wed</v>
      </c>
      <c r="I7" s="19" t="str">
        <f t="shared" si="1"/>
        <v>Thu</v>
      </c>
      <c r="J7" s="37" t="str">
        <f t="shared" si="1"/>
        <v>Fri</v>
      </c>
      <c r="K7" s="19" t="str">
        <f t="shared" si="1"/>
        <v>Sat</v>
      </c>
      <c r="L7" s="19" t="str">
        <f t="shared" si="1"/>
        <v>Sun</v>
      </c>
      <c r="M7" s="19" t="str">
        <f t="shared" si="1"/>
        <v>Mon</v>
      </c>
      <c r="N7" s="19" t="str">
        <f t="shared" si="1"/>
        <v>Tue</v>
      </c>
      <c r="O7" s="19" t="str">
        <f t="shared" si="1"/>
        <v>Wed</v>
      </c>
      <c r="P7" s="19" t="str">
        <f t="shared" si="1"/>
        <v>Thu</v>
      </c>
      <c r="Q7" s="19" t="str">
        <f t="shared" si="1"/>
        <v>Fri</v>
      </c>
      <c r="R7" s="19" t="str">
        <f t="shared" si="1"/>
        <v>Sat</v>
      </c>
      <c r="S7" s="19" t="str">
        <f t="shared" si="1"/>
        <v>Sun</v>
      </c>
      <c r="T7" s="19" t="str">
        <f t="shared" si="1"/>
        <v>Mon</v>
      </c>
      <c r="U7" s="19" t="str">
        <f t="shared" si="1"/>
        <v>Tue</v>
      </c>
      <c r="V7" s="126" t="str">
        <f t="shared" si="1"/>
        <v>Wed</v>
      </c>
      <c r="W7" s="19" t="str">
        <f t="shared" si="1"/>
        <v>Thu</v>
      </c>
      <c r="X7" s="19" t="str">
        <f t="shared" si="1"/>
        <v>Fri</v>
      </c>
      <c r="Y7" s="19" t="str">
        <f t="shared" si="1"/>
        <v>Sat</v>
      </c>
      <c r="Z7" s="37" t="str">
        <f t="shared" si="1"/>
        <v>Sun</v>
      </c>
      <c r="AA7" s="19" t="str">
        <f t="shared" si="1"/>
        <v>Mon</v>
      </c>
      <c r="AB7" s="19" t="str">
        <f t="shared" si="1"/>
        <v>Tue</v>
      </c>
      <c r="AC7" s="19" t="str">
        <f t="shared" si="1"/>
        <v>Wed</v>
      </c>
      <c r="AD7" s="37" t="str">
        <f t="shared" si="1"/>
        <v>Thu</v>
      </c>
      <c r="AE7" s="19" t="str">
        <f t="shared" si="1"/>
        <v>Fri</v>
      </c>
      <c r="AF7" s="37" t="str">
        <f t="shared" si="1"/>
        <v>Sat</v>
      </c>
      <c r="AG7" s="37" t="str">
        <f t="shared" si="1"/>
        <v>Sun</v>
      </c>
      <c r="AH7" s="79" t="str">
        <f t="shared" si="1"/>
        <v>Mon</v>
      </c>
      <c r="AI7" s="199"/>
    </row>
    <row r="8" spans="1:35" ht="21" customHeight="1" x14ac:dyDescent="0.25">
      <c r="A8" s="20" t="s">
        <v>30</v>
      </c>
      <c r="B8" s="183" t="s">
        <v>90</v>
      </c>
      <c r="C8" s="184"/>
      <c r="D8" s="185"/>
      <c r="E8" s="126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26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38" t="s">
        <v>31</v>
      </c>
    </row>
    <row r="9" spans="1:35" ht="21" customHeight="1" x14ac:dyDescent="0.25">
      <c r="A9" s="20" t="s">
        <v>32</v>
      </c>
      <c r="B9" s="183" t="s">
        <v>91</v>
      </c>
      <c r="C9" s="184"/>
      <c r="D9" s="185"/>
      <c r="E9" s="126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26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38" t="s">
        <v>31</v>
      </c>
    </row>
    <row r="10" spans="1:35" ht="21" customHeight="1" x14ac:dyDescent="0.25">
      <c r="A10" s="186" t="s">
        <v>33</v>
      </c>
      <c r="B10" s="238" t="s">
        <v>93</v>
      </c>
      <c r="C10" s="239"/>
      <c r="D10" s="19" t="s">
        <v>88</v>
      </c>
      <c r="E10" s="126"/>
      <c r="F10" s="19"/>
      <c r="G10" s="19"/>
      <c r="H10" s="19"/>
      <c r="I10" s="19"/>
      <c r="J10" s="3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26"/>
      <c r="W10" s="19"/>
      <c r="X10" s="19"/>
      <c r="Y10" s="19"/>
      <c r="Z10" s="37"/>
      <c r="AA10" s="19"/>
      <c r="AB10" s="19"/>
      <c r="AC10" s="19"/>
      <c r="AD10" s="37"/>
      <c r="AE10" s="37"/>
      <c r="AF10" s="37"/>
      <c r="AG10" s="46"/>
      <c r="AH10" s="79"/>
      <c r="AI10" s="38" t="s">
        <v>31</v>
      </c>
    </row>
    <row r="11" spans="1:35" ht="21" customHeight="1" x14ac:dyDescent="0.25">
      <c r="A11" s="187"/>
      <c r="B11" s="240"/>
      <c r="C11" s="241"/>
      <c r="D11" s="22" t="s">
        <v>89</v>
      </c>
      <c r="E11" s="129"/>
      <c r="F11" s="22"/>
      <c r="G11" s="22"/>
      <c r="H11" s="22"/>
      <c r="I11" s="22"/>
      <c r="J11" s="3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129"/>
      <c r="W11" s="22"/>
      <c r="X11" s="22"/>
      <c r="Y11" s="22"/>
      <c r="Z11" s="39"/>
      <c r="AA11" s="22"/>
      <c r="AB11" s="22"/>
      <c r="AC11" s="22"/>
      <c r="AD11" s="39"/>
      <c r="AE11" s="39"/>
      <c r="AF11" s="39"/>
      <c r="AG11" s="47"/>
      <c r="AH11" s="80"/>
      <c r="AI11" s="40" t="s">
        <v>31</v>
      </c>
    </row>
    <row r="12" spans="1:35" ht="21" customHeight="1" thickTop="1" thickBot="1" x14ac:dyDescent="0.3">
      <c r="A12" s="25" t="s">
        <v>34</v>
      </c>
      <c r="B12" s="192" t="s">
        <v>94</v>
      </c>
      <c r="C12" s="193"/>
      <c r="D12" s="194"/>
      <c r="E12" s="128">
        <f t="shared" ref="E12:AH12" si="2">E9-E8</f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  <c r="I12" s="27">
        <f t="shared" si="2"/>
        <v>0</v>
      </c>
      <c r="J12" s="41">
        <f t="shared" si="2"/>
        <v>0</v>
      </c>
      <c r="K12" s="27">
        <f t="shared" si="2"/>
        <v>0</v>
      </c>
      <c r="L12" s="27">
        <f t="shared" si="2"/>
        <v>0</v>
      </c>
      <c r="M12" s="27">
        <f t="shared" si="2"/>
        <v>0</v>
      </c>
      <c r="N12" s="27">
        <f t="shared" si="2"/>
        <v>0</v>
      </c>
      <c r="O12" s="27">
        <f t="shared" si="2"/>
        <v>0</v>
      </c>
      <c r="P12" s="27">
        <f t="shared" si="2"/>
        <v>0</v>
      </c>
      <c r="Q12" s="27">
        <f t="shared" si="2"/>
        <v>0</v>
      </c>
      <c r="R12" s="27">
        <f t="shared" si="2"/>
        <v>0</v>
      </c>
      <c r="S12" s="27">
        <f t="shared" si="2"/>
        <v>0</v>
      </c>
      <c r="T12" s="27">
        <f t="shared" si="2"/>
        <v>0</v>
      </c>
      <c r="U12" s="27">
        <f t="shared" si="2"/>
        <v>0</v>
      </c>
      <c r="V12" s="128">
        <f t="shared" si="2"/>
        <v>0</v>
      </c>
      <c r="W12" s="27">
        <f t="shared" si="2"/>
        <v>0</v>
      </c>
      <c r="X12" s="27">
        <f t="shared" si="2"/>
        <v>0</v>
      </c>
      <c r="Y12" s="27">
        <f t="shared" si="2"/>
        <v>0</v>
      </c>
      <c r="Z12" s="41">
        <f t="shared" si="2"/>
        <v>0</v>
      </c>
      <c r="AA12" s="27">
        <f t="shared" si="2"/>
        <v>0</v>
      </c>
      <c r="AB12" s="27">
        <f t="shared" si="2"/>
        <v>0</v>
      </c>
      <c r="AC12" s="27">
        <f t="shared" si="2"/>
        <v>0</v>
      </c>
      <c r="AD12" s="41">
        <f t="shared" si="2"/>
        <v>0</v>
      </c>
      <c r="AE12" s="41">
        <f t="shared" si="2"/>
        <v>0</v>
      </c>
      <c r="AF12" s="41">
        <f t="shared" si="2"/>
        <v>0</v>
      </c>
      <c r="AG12" s="41">
        <f t="shared" si="2"/>
        <v>0</v>
      </c>
      <c r="AH12" s="81">
        <f t="shared" si="2"/>
        <v>0</v>
      </c>
      <c r="AI12" s="88">
        <f t="shared" ref="AI12:AI40" si="3">SUM(E12:AH12)</f>
        <v>0</v>
      </c>
    </row>
    <row r="13" spans="1:35" ht="21" customHeight="1" thickTop="1" x14ac:dyDescent="0.25">
      <c r="A13" s="28" t="s">
        <v>35</v>
      </c>
      <c r="B13" s="216" t="s">
        <v>80</v>
      </c>
      <c r="C13" s="231"/>
      <c r="D13" s="217"/>
      <c r="E13" s="125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125"/>
      <c r="W13" s="30"/>
      <c r="X13" s="30"/>
      <c r="Y13" s="30"/>
      <c r="Z13" s="30"/>
      <c r="AA13" s="30"/>
      <c r="AB13" s="83"/>
      <c r="AC13" s="30"/>
      <c r="AD13" s="30"/>
      <c r="AE13" s="30"/>
      <c r="AF13" s="30"/>
      <c r="AG13" s="83"/>
      <c r="AH13" s="83"/>
      <c r="AI13" s="89">
        <f t="shared" si="3"/>
        <v>0</v>
      </c>
    </row>
    <row r="14" spans="1:35" ht="21" customHeight="1" x14ac:dyDescent="0.25">
      <c r="A14" s="20" t="s">
        <v>36</v>
      </c>
      <c r="B14" s="183" t="s">
        <v>95</v>
      </c>
      <c r="C14" s="184"/>
      <c r="D14" s="185"/>
      <c r="E14" s="123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23"/>
      <c r="W14" s="19"/>
      <c r="X14" s="19"/>
      <c r="Y14" s="19"/>
      <c r="Z14" s="19"/>
      <c r="AA14" s="19"/>
      <c r="AB14" s="79"/>
      <c r="AC14" s="19"/>
      <c r="AD14" s="19"/>
      <c r="AE14" s="19"/>
      <c r="AF14" s="19"/>
      <c r="AG14" s="79"/>
      <c r="AH14" s="79"/>
      <c r="AI14" s="38">
        <f t="shared" si="3"/>
        <v>0</v>
      </c>
    </row>
    <row r="15" spans="1:35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123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23"/>
      <c r="W15" s="19"/>
      <c r="X15" s="19"/>
      <c r="Y15" s="19"/>
      <c r="Z15" s="19"/>
      <c r="AA15" s="19"/>
      <c r="AB15" s="79"/>
      <c r="AC15" s="19"/>
      <c r="AD15" s="19"/>
      <c r="AE15" s="19"/>
      <c r="AF15" s="19"/>
      <c r="AG15" s="79"/>
      <c r="AH15" s="79"/>
      <c r="AI15" s="38">
        <f t="shared" si="3"/>
        <v>0</v>
      </c>
    </row>
    <row r="16" spans="1:35" ht="21" customHeight="1" x14ac:dyDescent="0.25">
      <c r="A16" s="20"/>
      <c r="B16" s="220"/>
      <c r="C16" s="220"/>
      <c r="D16" s="140" t="s">
        <v>97</v>
      </c>
      <c r="E16" s="123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23"/>
      <c r="W16" s="19"/>
      <c r="X16" s="19"/>
      <c r="Y16" s="19"/>
      <c r="Z16" s="19"/>
      <c r="AA16" s="19"/>
      <c r="AB16" s="79"/>
      <c r="AC16" s="19"/>
      <c r="AD16" s="19"/>
      <c r="AE16" s="19"/>
      <c r="AF16" s="19"/>
      <c r="AG16" s="79"/>
      <c r="AH16" s="79"/>
      <c r="AI16" s="38">
        <f t="shared" si="3"/>
        <v>0</v>
      </c>
    </row>
    <row r="17" spans="1:35" ht="21" customHeight="1" x14ac:dyDescent="0.25">
      <c r="A17" s="20"/>
      <c r="B17" s="220"/>
      <c r="C17" s="232"/>
      <c r="D17" s="140" t="s">
        <v>98</v>
      </c>
      <c r="E17" s="123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23"/>
      <c r="W17" s="19"/>
      <c r="X17" s="19"/>
      <c r="Y17" s="19"/>
      <c r="Z17" s="19"/>
      <c r="AA17" s="19"/>
      <c r="AB17" s="79"/>
      <c r="AC17" s="19"/>
      <c r="AD17" s="19"/>
      <c r="AE17" s="19"/>
      <c r="AF17" s="19"/>
      <c r="AG17" s="79"/>
      <c r="AH17" s="79"/>
      <c r="AI17" s="38">
        <f t="shared" si="3"/>
        <v>0</v>
      </c>
    </row>
    <row r="18" spans="1:35" ht="21" customHeight="1" x14ac:dyDescent="0.25">
      <c r="A18" s="20"/>
      <c r="B18" s="220"/>
      <c r="C18" s="183" t="s">
        <v>100</v>
      </c>
      <c r="D18" s="185"/>
      <c r="E18" s="123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23">
        <v>8</v>
      </c>
      <c r="W18" s="19"/>
      <c r="X18" s="19"/>
      <c r="Y18" s="19"/>
      <c r="Z18" s="19"/>
      <c r="AA18" s="19"/>
      <c r="AB18" s="79"/>
      <c r="AC18" s="19"/>
      <c r="AD18" s="19"/>
      <c r="AE18" s="19"/>
      <c r="AF18" s="19"/>
      <c r="AG18" s="79"/>
      <c r="AH18" s="79"/>
      <c r="AI18" s="38">
        <f t="shared" si="3"/>
        <v>8</v>
      </c>
    </row>
    <row r="19" spans="1:35" ht="30" customHeight="1" x14ac:dyDescent="0.25">
      <c r="A19" s="20"/>
      <c r="B19" s="220"/>
      <c r="C19" s="224" t="s">
        <v>105</v>
      </c>
      <c r="D19" s="185"/>
      <c r="E19" s="123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23"/>
      <c r="W19" s="19"/>
      <c r="X19" s="19"/>
      <c r="Y19" s="19"/>
      <c r="Z19" s="19"/>
      <c r="AA19" s="19"/>
      <c r="AB19" s="79"/>
      <c r="AC19" s="19"/>
      <c r="AD19" s="19"/>
      <c r="AE19" s="19"/>
      <c r="AF19" s="19"/>
      <c r="AG19" s="79"/>
      <c r="AH19" s="79"/>
      <c r="AI19" s="38">
        <f t="shared" si="3"/>
        <v>0</v>
      </c>
    </row>
    <row r="20" spans="1:35" ht="21" customHeight="1" x14ac:dyDescent="0.25">
      <c r="A20" s="20"/>
      <c r="B20" s="220"/>
      <c r="C20" s="183" t="s">
        <v>106</v>
      </c>
      <c r="D20" s="185"/>
      <c r="E20" s="123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23"/>
      <c r="W20" s="19"/>
      <c r="X20" s="19"/>
      <c r="Y20" s="19"/>
      <c r="Z20" s="19"/>
      <c r="AA20" s="19"/>
      <c r="AB20" s="79"/>
      <c r="AC20" s="19"/>
      <c r="AD20" s="19"/>
      <c r="AE20" s="19"/>
      <c r="AF20" s="19"/>
      <c r="AG20" s="79"/>
      <c r="AH20" s="79"/>
      <c r="AI20" s="38">
        <f t="shared" si="3"/>
        <v>0</v>
      </c>
    </row>
    <row r="21" spans="1:35" ht="21" customHeight="1" x14ac:dyDescent="0.25">
      <c r="A21" s="20"/>
      <c r="B21" s="220"/>
      <c r="C21" s="183" t="s">
        <v>107</v>
      </c>
      <c r="D21" s="185"/>
      <c r="E21" s="123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23"/>
      <c r="W21" s="19"/>
      <c r="X21" s="19"/>
      <c r="Y21" s="19"/>
      <c r="Z21" s="19"/>
      <c r="AA21" s="19"/>
      <c r="AB21" s="79"/>
      <c r="AC21" s="19"/>
      <c r="AD21" s="19"/>
      <c r="AE21" s="19"/>
      <c r="AF21" s="19"/>
      <c r="AG21" s="79"/>
      <c r="AH21" s="79"/>
      <c r="AI21" s="38">
        <f t="shared" si="3"/>
        <v>0</v>
      </c>
    </row>
    <row r="22" spans="1:35" ht="21" customHeight="1" x14ac:dyDescent="0.25">
      <c r="A22" s="20"/>
      <c r="B22" s="220"/>
      <c r="C22" s="183" t="s">
        <v>108</v>
      </c>
      <c r="D22" s="185"/>
      <c r="E22" s="123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23"/>
      <c r="W22" s="19"/>
      <c r="X22" s="19"/>
      <c r="Y22" s="19"/>
      <c r="Z22" s="19"/>
      <c r="AA22" s="19"/>
      <c r="AB22" s="79"/>
      <c r="AC22" s="19"/>
      <c r="AD22" s="19"/>
      <c r="AE22" s="19"/>
      <c r="AF22" s="19"/>
      <c r="AG22" s="79"/>
      <c r="AH22" s="79"/>
      <c r="AI22" s="38">
        <f t="shared" si="3"/>
        <v>0</v>
      </c>
    </row>
    <row r="23" spans="1:35" ht="21" customHeight="1" x14ac:dyDescent="0.25">
      <c r="A23" s="20"/>
      <c r="B23" s="220"/>
      <c r="C23" s="229" t="s">
        <v>122</v>
      </c>
      <c r="D23" s="230"/>
      <c r="E23" s="123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23"/>
      <c r="W23" s="19"/>
      <c r="X23" s="19"/>
      <c r="Y23" s="19"/>
      <c r="Z23" s="19"/>
      <c r="AA23" s="19"/>
      <c r="AB23" s="79"/>
      <c r="AC23" s="19"/>
      <c r="AD23" s="19"/>
      <c r="AE23" s="19"/>
      <c r="AF23" s="19"/>
      <c r="AG23" s="79"/>
      <c r="AH23" s="79"/>
      <c r="AI23" s="38">
        <f t="shared" si="3"/>
        <v>0</v>
      </c>
    </row>
    <row r="24" spans="1:35" ht="21" customHeight="1" x14ac:dyDescent="0.25">
      <c r="A24" s="20"/>
      <c r="B24" s="220"/>
      <c r="C24" s="183" t="s">
        <v>113</v>
      </c>
      <c r="D24" s="185"/>
      <c r="E24" s="123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23"/>
      <c r="W24" s="19"/>
      <c r="X24" s="19"/>
      <c r="Y24" s="19"/>
      <c r="Z24" s="19"/>
      <c r="AA24" s="19"/>
      <c r="AB24" s="79"/>
      <c r="AC24" s="19"/>
      <c r="AD24" s="19"/>
      <c r="AE24" s="19"/>
      <c r="AF24" s="19"/>
      <c r="AG24" s="79"/>
      <c r="AH24" s="79"/>
      <c r="AI24" s="38">
        <f t="shared" si="3"/>
        <v>0</v>
      </c>
    </row>
    <row r="25" spans="1:35" ht="30" customHeight="1" x14ac:dyDescent="0.25">
      <c r="A25" s="20"/>
      <c r="B25" s="220"/>
      <c r="C25" s="224" t="s">
        <v>114</v>
      </c>
      <c r="D25" s="185"/>
      <c r="E25" s="123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23"/>
      <c r="W25" s="19"/>
      <c r="X25" s="19"/>
      <c r="Y25" s="19"/>
      <c r="Z25" s="19"/>
      <c r="AA25" s="19"/>
      <c r="AB25" s="79"/>
      <c r="AC25" s="19"/>
      <c r="AD25" s="19"/>
      <c r="AE25" s="19"/>
      <c r="AF25" s="19"/>
      <c r="AG25" s="79"/>
      <c r="AH25" s="79"/>
      <c r="AI25" s="38">
        <f t="shared" si="3"/>
        <v>0</v>
      </c>
    </row>
    <row r="26" spans="1:35" ht="21" customHeight="1" x14ac:dyDescent="0.25">
      <c r="A26" s="20"/>
      <c r="B26" s="220"/>
      <c r="C26" s="183" t="s">
        <v>115</v>
      </c>
      <c r="D26" s="185"/>
      <c r="E26" s="123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23"/>
      <c r="W26" s="19"/>
      <c r="X26" s="19"/>
      <c r="Y26" s="19"/>
      <c r="Z26" s="19"/>
      <c r="AA26" s="19"/>
      <c r="AB26" s="79"/>
      <c r="AC26" s="19"/>
      <c r="AD26" s="19"/>
      <c r="AE26" s="19"/>
      <c r="AF26" s="19"/>
      <c r="AG26" s="79"/>
      <c r="AH26" s="79"/>
      <c r="AI26" s="38">
        <f t="shared" si="3"/>
        <v>0</v>
      </c>
    </row>
    <row r="27" spans="1:35" ht="21" customHeight="1" x14ac:dyDescent="0.25">
      <c r="A27" s="20"/>
      <c r="B27" s="220"/>
      <c r="C27" s="183" t="s">
        <v>116</v>
      </c>
      <c r="D27" s="185"/>
      <c r="E27" s="123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23"/>
      <c r="W27" s="19"/>
      <c r="X27" s="19"/>
      <c r="Y27" s="19"/>
      <c r="Z27" s="19"/>
      <c r="AA27" s="19"/>
      <c r="AB27" s="79"/>
      <c r="AC27" s="19"/>
      <c r="AD27" s="19"/>
      <c r="AE27" s="19"/>
      <c r="AF27" s="19"/>
      <c r="AG27" s="79"/>
      <c r="AH27" s="79"/>
      <c r="AI27" s="38">
        <f t="shared" si="3"/>
        <v>0</v>
      </c>
    </row>
    <row r="28" spans="1:35" ht="21" customHeight="1" x14ac:dyDescent="0.25">
      <c r="A28" s="20"/>
      <c r="B28" s="220"/>
      <c r="C28" s="225" t="s">
        <v>121</v>
      </c>
      <c r="D28" s="226"/>
      <c r="E28" s="123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23"/>
      <c r="W28" s="19"/>
      <c r="X28" s="19"/>
      <c r="Y28" s="19"/>
      <c r="Z28" s="19"/>
      <c r="AA28" s="19"/>
      <c r="AB28" s="79"/>
      <c r="AC28" s="19"/>
      <c r="AD28" s="19"/>
      <c r="AE28" s="19"/>
      <c r="AF28" s="19"/>
      <c r="AG28" s="79"/>
      <c r="AH28" s="79"/>
      <c r="AI28" s="38">
        <f t="shared" si="3"/>
        <v>0</v>
      </c>
    </row>
    <row r="29" spans="1:35" ht="21" customHeight="1" x14ac:dyDescent="0.25">
      <c r="A29" s="20"/>
      <c r="B29" s="220"/>
      <c r="C29" s="183" t="s">
        <v>120</v>
      </c>
      <c r="D29" s="228"/>
      <c r="E29" s="123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23"/>
      <c r="W29" s="19"/>
      <c r="X29" s="19"/>
      <c r="Y29" s="19"/>
      <c r="Z29" s="19"/>
      <c r="AA29" s="19"/>
      <c r="AB29" s="79"/>
      <c r="AC29" s="19"/>
      <c r="AD29" s="19"/>
      <c r="AE29" s="19"/>
      <c r="AF29" s="19"/>
      <c r="AG29" s="79"/>
      <c r="AH29" s="79"/>
      <c r="AI29" s="38">
        <f t="shared" si="3"/>
        <v>0</v>
      </c>
    </row>
    <row r="30" spans="1:35" ht="21" customHeight="1" x14ac:dyDescent="0.25">
      <c r="A30" s="20"/>
      <c r="B30" s="220"/>
      <c r="C30" s="183" t="s">
        <v>117</v>
      </c>
      <c r="D30" s="185"/>
      <c r="E30" s="123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23"/>
      <c r="W30" s="19"/>
      <c r="X30" s="19"/>
      <c r="Y30" s="19"/>
      <c r="Z30" s="19"/>
      <c r="AA30" s="19"/>
      <c r="AB30" s="79"/>
      <c r="AC30" s="19"/>
      <c r="AD30" s="19"/>
      <c r="AE30" s="19"/>
      <c r="AF30" s="19"/>
      <c r="AG30" s="79"/>
      <c r="AH30" s="79"/>
      <c r="AI30" s="38">
        <f t="shared" si="3"/>
        <v>0</v>
      </c>
    </row>
    <row r="31" spans="1:35" ht="21" customHeight="1" x14ac:dyDescent="0.25">
      <c r="A31" s="20"/>
      <c r="B31" s="220"/>
      <c r="C31" s="183" t="s">
        <v>118</v>
      </c>
      <c r="D31" s="185"/>
      <c r="E31" s="123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23"/>
      <c r="W31" s="19"/>
      <c r="X31" s="19"/>
      <c r="Y31" s="19"/>
      <c r="Z31" s="19"/>
      <c r="AA31" s="19"/>
      <c r="AB31" s="79"/>
      <c r="AC31" s="19"/>
      <c r="AD31" s="19"/>
      <c r="AE31" s="19"/>
      <c r="AF31" s="19"/>
      <c r="AG31" s="79"/>
      <c r="AH31" s="79"/>
      <c r="AI31" s="38">
        <f t="shared" si="3"/>
        <v>0</v>
      </c>
    </row>
    <row r="32" spans="1:35" ht="21" customHeight="1" x14ac:dyDescent="0.25">
      <c r="A32" s="20"/>
      <c r="B32" s="220"/>
      <c r="C32" s="183" t="s">
        <v>119</v>
      </c>
      <c r="D32" s="228"/>
      <c r="E32" s="123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23"/>
      <c r="W32" s="19"/>
      <c r="X32" s="19"/>
      <c r="Y32" s="19"/>
      <c r="Z32" s="19"/>
      <c r="AA32" s="19"/>
      <c r="AB32" s="79"/>
      <c r="AC32" s="19"/>
      <c r="AD32" s="19"/>
      <c r="AE32" s="19"/>
      <c r="AF32" s="19"/>
      <c r="AG32" s="79"/>
      <c r="AH32" s="79"/>
      <c r="AI32" s="38">
        <f t="shared" si="3"/>
        <v>0</v>
      </c>
    </row>
    <row r="33" spans="1:35" ht="21" customHeight="1" x14ac:dyDescent="0.25">
      <c r="A33" s="20"/>
      <c r="B33" s="220"/>
      <c r="C33" s="183" t="s">
        <v>111</v>
      </c>
      <c r="D33" s="185"/>
      <c r="E33" s="123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23"/>
      <c r="W33" s="19"/>
      <c r="X33" s="19"/>
      <c r="Y33" s="19"/>
      <c r="Z33" s="19"/>
      <c r="AA33" s="19"/>
      <c r="AB33" s="79"/>
      <c r="AC33" s="19"/>
      <c r="AD33" s="19"/>
      <c r="AE33" s="19"/>
      <c r="AF33" s="19"/>
      <c r="AG33" s="79"/>
      <c r="AH33" s="79"/>
      <c r="AI33" s="38">
        <f t="shared" si="3"/>
        <v>0</v>
      </c>
    </row>
    <row r="34" spans="1:35" ht="21" customHeight="1" thickBot="1" x14ac:dyDescent="0.3">
      <c r="A34" s="31"/>
      <c r="B34" s="221"/>
      <c r="C34" s="222" t="s">
        <v>112</v>
      </c>
      <c r="D34" s="223"/>
      <c r="E34" s="124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124"/>
      <c r="W34" s="22"/>
      <c r="X34" s="22"/>
      <c r="Y34" s="22"/>
      <c r="Z34" s="22"/>
      <c r="AA34" s="22"/>
      <c r="AB34" s="80"/>
      <c r="AC34" s="22"/>
      <c r="AD34" s="22"/>
      <c r="AE34" s="22"/>
      <c r="AF34" s="22"/>
      <c r="AG34" s="80"/>
      <c r="AH34" s="80"/>
      <c r="AI34" s="40">
        <f t="shared" si="3"/>
        <v>0</v>
      </c>
    </row>
    <row r="35" spans="1:35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125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125"/>
      <c r="W35" s="30"/>
      <c r="X35" s="30"/>
      <c r="Y35" s="30"/>
      <c r="Z35" s="30"/>
      <c r="AA35" s="30"/>
      <c r="AB35" s="83"/>
      <c r="AC35" s="30"/>
      <c r="AD35" s="30"/>
      <c r="AE35" s="30"/>
      <c r="AF35" s="30"/>
      <c r="AG35" s="83"/>
      <c r="AH35" s="83"/>
      <c r="AI35" s="89">
        <f t="shared" si="3"/>
        <v>0</v>
      </c>
    </row>
    <row r="36" spans="1:35" ht="21" customHeight="1" x14ac:dyDescent="0.25">
      <c r="A36" s="206"/>
      <c r="B36" s="220"/>
      <c r="C36" s="183" t="s">
        <v>102</v>
      </c>
      <c r="D36" s="185"/>
      <c r="E36" s="123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23"/>
      <c r="W36" s="19"/>
      <c r="X36" s="19"/>
      <c r="Y36" s="19"/>
      <c r="Z36" s="19"/>
      <c r="AA36" s="19"/>
      <c r="AB36" s="79"/>
      <c r="AC36" s="19"/>
      <c r="AD36" s="19"/>
      <c r="AE36" s="19"/>
      <c r="AF36" s="19"/>
      <c r="AG36" s="79"/>
      <c r="AH36" s="79"/>
      <c r="AI36" s="38">
        <f t="shared" si="3"/>
        <v>0</v>
      </c>
    </row>
    <row r="37" spans="1:35" ht="21" customHeight="1" thickBot="1" x14ac:dyDescent="0.3">
      <c r="A37" s="187"/>
      <c r="B37" s="221"/>
      <c r="C37" s="222" t="s">
        <v>103</v>
      </c>
      <c r="D37" s="223"/>
      <c r="E37" s="124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124"/>
      <c r="W37" s="22"/>
      <c r="X37" s="22"/>
      <c r="Y37" s="22"/>
      <c r="Z37" s="22"/>
      <c r="AA37" s="22"/>
      <c r="AB37" s="80"/>
      <c r="AC37" s="22"/>
      <c r="AD37" s="22"/>
      <c r="AE37" s="22"/>
      <c r="AF37" s="22"/>
      <c r="AG37" s="80"/>
      <c r="AH37" s="80"/>
      <c r="AI37" s="40">
        <f t="shared" si="3"/>
        <v>0</v>
      </c>
    </row>
    <row r="38" spans="1:35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125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125"/>
      <c r="W38" s="30"/>
      <c r="X38" s="30"/>
      <c r="Y38" s="30"/>
      <c r="Z38" s="30"/>
      <c r="AA38" s="30"/>
      <c r="AB38" s="83"/>
      <c r="AC38" s="30"/>
      <c r="AD38" s="30"/>
      <c r="AE38" s="30"/>
      <c r="AF38" s="30"/>
      <c r="AG38" s="83"/>
      <c r="AH38" s="83"/>
      <c r="AI38" s="89">
        <f t="shared" si="3"/>
        <v>0</v>
      </c>
    </row>
    <row r="39" spans="1:35" ht="21" customHeight="1" x14ac:dyDescent="0.25">
      <c r="A39" s="206"/>
      <c r="B39" s="220"/>
      <c r="C39" s="183" t="s">
        <v>102</v>
      </c>
      <c r="D39" s="185"/>
      <c r="E39" s="123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23"/>
      <c r="W39" s="19"/>
      <c r="X39" s="19"/>
      <c r="Y39" s="19"/>
      <c r="Z39" s="19"/>
      <c r="AA39" s="19"/>
      <c r="AB39" s="79"/>
      <c r="AC39" s="19"/>
      <c r="AD39" s="19"/>
      <c r="AE39" s="19"/>
      <c r="AF39" s="19"/>
      <c r="AG39" s="79"/>
      <c r="AH39" s="79"/>
      <c r="AI39" s="38">
        <f t="shared" si="3"/>
        <v>0</v>
      </c>
    </row>
    <row r="40" spans="1:35" ht="21" customHeight="1" thickBot="1" x14ac:dyDescent="0.3">
      <c r="A40" s="187"/>
      <c r="B40" s="221"/>
      <c r="C40" s="222" t="s">
        <v>103</v>
      </c>
      <c r="D40" s="223"/>
      <c r="E40" s="12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124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85"/>
      <c r="AH40" s="85"/>
      <c r="AI40" s="90">
        <f t="shared" si="3"/>
        <v>0</v>
      </c>
    </row>
    <row r="41" spans="1:35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2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6"/>
      <c r="AI41" s="33">
        <f>SUM(AI12:AI40)</f>
        <v>8</v>
      </c>
    </row>
    <row r="42" spans="1:35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12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27"/>
      <c r="AG42" s="127"/>
      <c r="AH42" s="17"/>
      <c r="AI42" s="17"/>
    </row>
    <row r="43" spans="1:35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12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</row>
    <row r="44" spans="1:35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12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27"/>
      <c r="AG44" s="127"/>
      <c r="AH44" s="17"/>
      <c r="AI44" s="17"/>
    </row>
    <row r="45" spans="1:35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2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27"/>
      <c r="AG45" s="127"/>
      <c r="AH45" s="17"/>
      <c r="AI45" s="17"/>
    </row>
    <row r="46" spans="1:35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8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87"/>
      <c r="AG46" s="87"/>
      <c r="AH46" s="17"/>
      <c r="AI46" s="17"/>
    </row>
    <row r="47" spans="1:35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8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87"/>
      <c r="AG47" s="87"/>
      <c r="AH47" s="17"/>
      <c r="AI47" s="17"/>
    </row>
    <row r="48" spans="1:35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8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87"/>
      <c r="AG48" s="87"/>
      <c r="AH48" s="17"/>
      <c r="AI48" s="17"/>
    </row>
    <row r="49" spans="1:35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8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87"/>
      <c r="AG49" s="87"/>
      <c r="AH49" s="17"/>
      <c r="AI49" s="17"/>
    </row>
    <row r="50" spans="1:35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8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87"/>
      <c r="AG50" s="87"/>
      <c r="AH50" s="17"/>
      <c r="AI50" s="17"/>
    </row>
    <row r="51" spans="1:35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8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87"/>
      <c r="AG51" s="87"/>
      <c r="AH51" s="17"/>
      <c r="AI51" s="17"/>
    </row>
    <row r="52" spans="1:35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8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87"/>
      <c r="AG52" s="87"/>
      <c r="AH52" s="17"/>
      <c r="AI52" s="17"/>
    </row>
    <row r="53" spans="1:35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8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87"/>
      <c r="AG53" s="87"/>
      <c r="AH53" s="17"/>
      <c r="AI53" s="17"/>
    </row>
    <row r="54" spans="1:35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8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87"/>
      <c r="AG54" s="87"/>
      <c r="AH54" s="17"/>
      <c r="AI54" s="17"/>
    </row>
    <row r="55" spans="1:35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8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87"/>
      <c r="AG55" s="87"/>
      <c r="AH55" s="17"/>
      <c r="AI55" s="17"/>
    </row>
    <row r="56" spans="1:35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8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87"/>
      <c r="AG56" s="87"/>
      <c r="AH56" s="17"/>
      <c r="AI56" s="17"/>
    </row>
    <row r="57" spans="1:35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8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87"/>
      <c r="AG57" s="87"/>
      <c r="AH57" s="17"/>
      <c r="AI57" s="17"/>
    </row>
    <row r="58" spans="1:35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8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87"/>
      <c r="AG58" s="87"/>
      <c r="AH58" s="17"/>
      <c r="AI58" s="17"/>
    </row>
    <row r="59" spans="1:35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8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87"/>
      <c r="AG59" s="87"/>
      <c r="AH59" s="17"/>
      <c r="AI59" s="17"/>
    </row>
    <row r="60" spans="1:35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8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87"/>
      <c r="AG60" s="87"/>
      <c r="AH60" s="17"/>
      <c r="AI60" s="17"/>
    </row>
    <row r="61" spans="1:35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8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87"/>
      <c r="AG61" s="87"/>
      <c r="AH61" s="17"/>
      <c r="AI61" s="17"/>
    </row>
    <row r="62" spans="1:35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8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87"/>
      <c r="AG62" s="87"/>
      <c r="AH62" s="17"/>
      <c r="AI62" s="17"/>
    </row>
    <row r="63" spans="1:35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8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87"/>
      <c r="AG63" s="87"/>
      <c r="AH63" s="17"/>
      <c r="AI63" s="17"/>
    </row>
    <row r="64" spans="1:35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8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87"/>
      <c r="AG64" s="87"/>
      <c r="AH64" s="17"/>
      <c r="AI64" s="17"/>
    </row>
    <row r="65" spans="1:35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8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87"/>
      <c r="AG65" s="87"/>
      <c r="AH65" s="17"/>
      <c r="AI65" s="17"/>
    </row>
    <row r="66" spans="1:35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8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87"/>
      <c r="AG66" s="87"/>
      <c r="AH66" s="17"/>
      <c r="AI66" s="17"/>
    </row>
    <row r="67" spans="1:35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8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87"/>
      <c r="AG67" s="87"/>
      <c r="AH67" s="17"/>
      <c r="AI67" s="17"/>
    </row>
    <row r="68" spans="1:35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8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87"/>
      <c r="AG68" s="87"/>
      <c r="AH68" s="17"/>
      <c r="AI68" s="17"/>
    </row>
    <row r="69" spans="1:35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8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87"/>
      <c r="AG69" s="87"/>
      <c r="AH69" s="17"/>
      <c r="AI69" s="17"/>
    </row>
    <row r="70" spans="1:35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8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87"/>
      <c r="AG70" s="87"/>
      <c r="AH70" s="17"/>
      <c r="AI70" s="17"/>
    </row>
    <row r="71" spans="1:35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8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87"/>
      <c r="AG71" s="87"/>
      <c r="AH71" s="17"/>
      <c r="AI71" s="17"/>
    </row>
    <row r="72" spans="1:35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8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87"/>
      <c r="AG72" s="87"/>
      <c r="AH72" s="17"/>
      <c r="AI72" s="17"/>
    </row>
    <row r="73" spans="1:35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8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87"/>
      <c r="AG73" s="87"/>
      <c r="AH73" s="17"/>
      <c r="AI73" s="17"/>
    </row>
    <row r="74" spans="1:35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8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87"/>
      <c r="AG74" s="87"/>
      <c r="AH74" s="17"/>
      <c r="AI74" s="17"/>
    </row>
    <row r="75" spans="1:35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8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87"/>
      <c r="AG75" s="87"/>
      <c r="AH75" s="17"/>
      <c r="AI75" s="17"/>
    </row>
    <row r="76" spans="1:35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8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87"/>
      <c r="AG76" s="87"/>
      <c r="AH76" s="17"/>
      <c r="AI76" s="17"/>
    </row>
    <row r="77" spans="1:35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8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87"/>
      <c r="AG77" s="87"/>
      <c r="AH77" s="17"/>
      <c r="AI77" s="17"/>
    </row>
    <row r="78" spans="1:35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8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87"/>
      <c r="AG78" s="87"/>
      <c r="AH78" s="17"/>
      <c r="AI78" s="17"/>
    </row>
    <row r="79" spans="1:35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8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87"/>
      <c r="AG79" s="87"/>
      <c r="AH79" s="17"/>
      <c r="AI79" s="17"/>
    </row>
    <row r="80" spans="1:35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8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87"/>
      <c r="AG80" s="87"/>
      <c r="AH80" s="17"/>
      <c r="AI80" s="17"/>
    </row>
    <row r="81" spans="1:35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8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87"/>
      <c r="AG81" s="87"/>
      <c r="AH81" s="17"/>
      <c r="AI81" s="17"/>
    </row>
    <row r="82" spans="1:35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8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87"/>
      <c r="AG82" s="87"/>
      <c r="AH82" s="17"/>
      <c r="AI82" s="17"/>
    </row>
    <row r="83" spans="1:35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8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87"/>
      <c r="AG83" s="87"/>
      <c r="AH83" s="17"/>
      <c r="AI83" s="17"/>
    </row>
    <row r="84" spans="1:35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8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87"/>
      <c r="AG84" s="87"/>
      <c r="AH84" s="17"/>
      <c r="AI84" s="17"/>
    </row>
    <row r="85" spans="1:35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8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87"/>
      <c r="AG85" s="87"/>
      <c r="AH85" s="17"/>
      <c r="AI85" s="17"/>
    </row>
    <row r="86" spans="1:35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8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87"/>
      <c r="AG86" s="87"/>
      <c r="AH86" s="17"/>
      <c r="AI86" s="17"/>
    </row>
    <row r="87" spans="1:35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8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87"/>
      <c r="AG87" s="87"/>
      <c r="AH87" s="17"/>
      <c r="AI87" s="17"/>
    </row>
    <row r="88" spans="1:35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8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87"/>
      <c r="AG88" s="87"/>
      <c r="AH88" s="17"/>
      <c r="AI88" s="17"/>
    </row>
    <row r="89" spans="1:35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8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87"/>
      <c r="AG89" s="87"/>
      <c r="AH89" s="17"/>
      <c r="AI89" s="17"/>
    </row>
    <row r="90" spans="1:35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8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87"/>
      <c r="AG90" s="87"/>
      <c r="AH90" s="17"/>
      <c r="AI90" s="17"/>
    </row>
    <row r="91" spans="1:35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8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87"/>
      <c r="AG91" s="87"/>
      <c r="AH91" s="17"/>
      <c r="AI91" s="17"/>
    </row>
    <row r="92" spans="1:35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8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87"/>
      <c r="AG92" s="87"/>
      <c r="AH92" s="17"/>
      <c r="AI92" s="17"/>
    </row>
    <row r="93" spans="1:35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8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87"/>
      <c r="AG93" s="87"/>
      <c r="AH93" s="17"/>
      <c r="AI93" s="17"/>
    </row>
    <row r="94" spans="1:35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8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87"/>
      <c r="AG94" s="87"/>
      <c r="AH94" s="17"/>
      <c r="AI94" s="17"/>
    </row>
    <row r="95" spans="1:35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8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87"/>
      <c r="AG95" s="87"/>
      <c r="AH95" s="17"/>
      <c r="AI95" s="17"/>
    </row>
    <row r="96" spans="1:35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8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87"/>
      <c r="AG96" s="87"/>
      <c r="AH96" s="17"/>
      <c r="AI96" s="17"/>
    </row>
    <row r="97" spans="1:35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8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87"/>
      <c r="AG97" s="87"/>
      <c r="AH97" s="17"/>
      <c r="AI97" s="17"/>
    </row>
    <row r="98" spans="1:35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8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87"/>
      <c r="AG98" s="87"/>
      <c r="AH98" s="17"/>
      <c r="AI98" s="17"/>
    </row>
    <row r="99" spans="1:35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8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87"/>
      <c r="AG99" s="87"/>
      <c r="AH99" s="17"/>
      <c r="AI99" s="17"/>
    </row>
    <row r="100" spans="1:35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8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87"/>
      <c r="AG100" s="87"/>
      <c r="AH100" s="17"/>
      <c r="AI100" s="17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H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I5:AI7"/>
    <mergeCell ref="I1:U1"/>
    <mergeCell ref="V1:AA1"/>
    <mergeCell ref="A2:D2"/>
    <mergeCell ref="A3:D3"/>
    <mergeCell ref="L3:P3"/>
    <mergeCell ref="Q3:AA3"/>
    <mergeCell ref="E5:AH5"/>
    <mergeCell ref="A5:A7"/>
    <mergeCell ref="B5:D7"/>
    <mergeCell ref="B8:D8"/>
    <mergeCell ref="B9:D9"/>
    <mergeCell ref="A10:A11"/>
    <mergeCell ref="B10:C11"/>
    <mergeCell ref="B12:D12"/>
  </mergeCells>
  <pageMargins left="0.43307086614173229" right="0.39370078740157483" top="0.31496062992125984" bottom="0.31496062992125984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J1000"/>
  <sheetViews>
    <sheetView showGridLines="0" workbookViewId="0">
      <selection activeCell="AA19" sqref="AA19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6" width="5.5703125" bestFit="1" customWidth="1"/>
    <col min="7" max="13" width="4.7109375" customWidth="1"/>
    <col min="14" max="21" width="5.85546875" bestFit="1" customWidth="1"/>
    <col min="22" max="22" width="5.85546875" customWidth="1"/>
    <col min="23" max="35" width="5.85546875" bestFit="1" customWidth="1"/>
    <col min="36" max="36" width="4.7109375" customWidth="1"/>
  </cols>
  <sheetData>
    <row r="1" spans="1:36" ht="12.75" customHeight="1" x14ac:dyDescent="0.25">
      <c r="A1" s="87"/>
      <c r="B1" s="87"/>
      <c r="C1" s="87"/>
      <c r="D1" s="87"/>
      <c r="E1" s="87"/>
      <c r="F1" s="87"/>
      <c r="G1" s="87"/>
      <c r="H1" s="87"/>
      <c r="I1" s="250" t="s">
        <v>81</v>
      </c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2"/>
      <c r="W1" s="201"/>
      <c r="X1" s="201"/>
      <c r="Y1" s="201"/>
      <c r="Z1" s="201"/>
      <c r="AA1" s="201"/>
      <c r="AB1" s="195">
        <v>2025</v>
      </c>
      <c r="AC1" s="196"/>
      <c r="AD1" s="196"/>
      <c r="AE1" s="87"/>
      <c r="AF1" s="87"/>
      <c r="AG1" s="87"/>
      <c r="AH1" s="87"/>
      <c r="AI1" s="87"/>
      <c r="AJ1" s="87"/>
    </row>
    <row r="2" spans="1:36" ht="12.75" customHeight="1" x14ac:dyDescent="0.25">
      <c r="A2" s="252">
        <f>'General information'!B1</f>
        <v>0</v>
      </c>
      <c r="B2" s="201"/>
      <c r="C2" s="201"/>
      <c r="D2" s="201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</row>
    <row r="3" spans="1:36" ht="12.75" customHeight="1" x14ac:dyDescent="0.25">
      <c r="A3" s="250" t="s">
        <v>82</v>
      </c>
      <c r="B3" s="251"/>
      <c r="C3" s="251"/>
      <c r="D3" s="251"/>
      <c r="E3" s="87"/>
      <c r="F3" s="87"/>
      <c r="G3" s="87"/>
      <c r="H3" s="87"/>
      <c r="I3" s="87"/>
      <c r="J3" s="87"/>
      <c r="K3" s="87"/>
      <c r="L3" s="250" t="s">
        <v>84</v>
      </c>
      <c r="M3" s="251"/>
      <c r="N3" s="251"/>
      <c r="O3" s="251"/>
      <c r="P3" s="251"/>
      <c r="Q3" s="252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87"/>
      <c r="AC3" s="87"/>
      <c r="AD3" s="87"/>
      <c r="AE3" s="87"/>
      <c r="AF3" s="87"/>
      <c r="AG3" s="87"/>
      <c r="AH3" s="87"/>
      <c r="AI3" s="87"/>
      <c r="AJ3" s="87"/>
    </row>
    <row r="4" spans="1:36" ht="12.7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</row>
    <row r="5" spans="1:36" ht="16.5" customHeight="1" x14ac:dyDescent="0.25">
      <c r="A5" s="254" t="s">
        <v>83</v>
      </c>
      <c r="B5" s="255" t="s">
        <v>92</v>
      </c>
      <c r="C5" s="209"/>
      <c r="D5" s="210"/>
      <c r="E5" s="253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44"/>
      <c r="AJ5" s="249" t="s">
        <v>86</v>
      </c>
    </row>
    <row r="6" spans="1:36" ht="16.5" customHeight="1" x14ac:dyDescent="0.25">
      <c r="A6" s="206"/>
      <c r="B6" s="211"/>
      <c r="C6" s="196"/>
      <c r="D6" s="212"/>
      <c r="E6" s="104">
        <f>+November!AH6+1</f>
        <v>46357</v>
      </c>
      <c r="F6" s="103">
        <f>+E6+1</f>
        <v>46358</v>
      </c>
      <c r="G6" s="103">
        <f t="shared" ref="G6:AI6" si="0">+F6+1</f>
        <v>46359</v>
      </c>
      <c r="H6" s="103">
        <f t="shared" si="0"/>
        <v>46360</v>
      </c>
      <c r="I6" s="103">
        <f t="shared" si="0"/>
        <v>46361</v>
      </c>
      <c r="J6" s="103">
        <f t="shared" si="0"/>
        <v>46362</v>
      </c>
      <c r="K6" s="103">
        <f t="shared" si="0"/>
        <v>46363</v>
      </c>
      <c r="L6" s="103">
        <f t="shared" si="0"/>
        <v>46364</v>
      </c>
      <c r="M6" s="103">
        <f t="shared" si="0"/>
        <v>46365</v>
      </c>
      <c r="N6" s="103">
        <f t="shared" si="0"/>
        <v>46366</v>
      </c>
      <c r="O6" s="103">
        <f t="shared" si="0"/>
        <v>46367</v>
      </c>
      <c r="P6" s="103">
        <f t="shared" si="0"/>
        <v>46368</v>
      </c>
      <c r="Q6" s="103">
        <f t="shared" si="0"/>
        <v>46369</v>
      </c>
      <c r="R6" s="103">
        <f t="shared" si="0"/>
        <v>46370</v>
      </c>
      <c r="S6" s="103">
        <f t="shared" si="0"/>
        <v>46371</v>
      </c>
      <c r="T6" s="103">
        <f t="shared" si="0"/>
        <v>46372</v>
      </c>
      <c r="U6" s="103">
        <f t="shared" si="0"/>
        <v>46373</v>
      </c>
      <c r="V6" s="103">
        <f t="shared" si="0"/>
        <v>46374</v>
      </c>
      <c r="W6" s="103">
        <f t="shared" si="0"/>
        <v>46375</v>
      </c>
      <c r="X6" s="103">
        <f t="shared" si="0"/>
        <v>46376</v>
      </c>
      <c r="Y6" s="103">
        <f t="shared" si="0"/>
        <v>46377</v>
      </c>
      <c r="Z6" s="103">
        <f t="shared" si="0"/>
        <v>46378</v>
      </c>
      <c r="AA6" s="103">
        <f t="shared" si="0"/>
        <v>46379</v>
      </c>
      <c r="AB6" s="103">
        <f t="shared" si="0"/>
        <v>46380</v>
      </c>
      <c r="AC6" s="103">
        <f t="shared" si="0"/>
        <v>46381</v>
      </c>
      <c r="AD6" s="103">
        <f t="shared" si="0"/>
        <v>46382</v>
      </c>
      <c r="AE6" s="103">
        <f t="shared" si="0"/>
        <v>46383</v>
      </c>
      <c r="AF6" s="103">
        <f t="shared" si="0"/>
        <v>46384</v>
      </c>
      <c r="AG6" s="103">
        <f t="shared" si="0"/>
        <v>46385</v>
      </c>
      <c r="AH6" s="103">
        <f t="shared" si="0"/>
        <v>46386</v>
      </c>
      <c r="AI6" s="103">
        <f t="shared" si="0"/>
        <v>46387</v>
      </c>
      <c r="AJ6" s="198"/>
    </row>
    <row r="7" spans="1:36" ht="16.5" customHeight="1" x14ac:dyDescent="0.25">
      <c r="A7" s="207"/>
      <c r="B7" s="213"/>
      <c r="C7" s="214"/>
      <c r="D7" s="215"/>
      <c r="E7" s="67" t="s">
        <v>131</v>
      </c>
      <c r="F7" s="37" t="str">
        <f t="shared" ref="F7:AI7" si="1">IF(E7="Mon","Tue",IF(E7="Tue","Wed",IF(E7="Wed","Thu",IF(E7="Thu","Fri",IF(E7="Fri","Sat",IF(E7="Sat","Sun",IF(E7="Sun","Mon")))))))</f>
        <v>Wed</v>
      </c>
      <c r="G7" s="37" t="str">
        <f t="shared" si="1"/>
        <v>Thu</v>
      </c>
      <c r="H7" s="37" t="str">
        <f t="shared" si="1"/>
        <v>Fri</v>
      </c>
      <c r="I7" s="37" t="str">
        <f t="shared" si="1"/>
        <v>Sat</v>
      </c>
      <c r="J7" s="37" t="str">
        <f t="shared" si="1"/>
        <v>Sun</v>
      </c>
      <c r="K7" s="37" t="str">
        <f t="shared" si="1"/>
        <v>Mon</v>
      </c>
      <c r="L7" s="37" t="str">
        <f t="shared" si="1"/>
        <v>Tue</v>
      </c>
      <c r="M7" s="37" t="str">
        <f t="shared" si="1"/>
        <v>Wed</v>
      </c>
      <c r="N7" s="37" t="str">
        <f t="shared" si="1"/>
        <v>Thu</v>
      </c>
      <c r="O7" s="37" t="str">
        <f t="shared" si="1"/>
        <v>Fri</v>
      </c>
      <c r="P7" s="37" t="str">
        <f t="shared" si="1"/>
        <v>Sat</v>
      </c>
      <c r="Q7" s="37" t="str">
        <f t="shared" si="1"/>
        <v>Sun</v>
      </c>
      <c r="R7" s="37" t="str">
        <f t="shared" si="1"/>
        <v>Mon</v>
      </c>
      <c r="S7" s="37" t="str">
        <f t="shared" si="1"/>
        <v>Tue</v>
      </c>
      <c r="T7" s="37" t="str">
        <f t="shared" si="1"/>
        <v>Wed</v>
      </c>
      <c r="U7" s="37" t="str">
        <f t="shared" si="1"/>
        <v>Thu</v>
      </c>
      <c r="V7" s="37" t="str">
        <f t="shared" si="1"/>
        <v>Fri</v>
      </c>
      <c r="W7" s="37" t="str">
        <f t="shared" si="1"/>
        <v>Sat</v>
      </c>
      <c r="X7" s="37" t="str">
        <f t="shared" si="1"/>
        <v>Sun</v>
      </c>
      <c r="Y7" s="37" t="str">
        <f t="shared" si="1"/>
        <v>Mon</v>
      </c>
      <c r="Z7" s="37" t="str">
        <f t="shared" si="1"/>
        <v>Tue</v>
      </c>
      <c r="AA7" s="37" t="str">
        <f t="shared" si="1"/>
        <v>Wed</v>
      </c>
      <c r="AB7" s="37" t="str">
        <f t="shared" si="1"/>
        <v>Thu</v>
      </c>
      <c r="AC7" s="18" t="str">
        <f t="shared" si="1"/>
        <v>Fri</v>
      </c>
      <c r="AD7" s="18" t="str">
        <f t="shared" si="1"/>
        <v>Sat</v>
      </c>
      <c r="AE7" s="37" t="str">
        <f t="shared" si="1"/>
        <v>Sun</v>
      </c>
      <c r="AF7" s="37" t="str">
        <f t="shared" si="1"/>
        <v>Mon</v>
      </c>
      <c r="AG7" s="37" t="str">
        <f t="shared" si="1"/>
        <v>Tue</v>
      </c>
      <c r="AH7" s="37" t="str">
        <f t="shared" si="1"/>
        <v>Wed</v>
      </c>
      <c r="AI7" s="46" t="str">
        <f t="shared" si="1"/>
        <v>Thu</v>
      </c>
      <c r="AJ7" s="199"/>
    </row>
    <row r="8" spans="1:36" ht="21" customHeight="1" x14ac:dyDescent="0.25">
      <c r="A8" s="50" t="s">
        <v>30</v>
      </c>
      <c r="B8" s="245" t="s">
        <v>90</v>
      </c>
      <c r="C8" s="184"/>
      <c r="D8" s="185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18"/>
      <c r="AD8" s="18"/>
      <c r="AE8" s="37"/>
      <c r="AF8" s="37"/>
      <c r="AG8" s="37"/>
      <c r="AH8" s="37"/>
      <c r="AI8" s="46"/>
      <c r="AJ8" s="51" t="s">
        <v>31</v>
      </c>
    </row>
    <row r="9" spans="1:36" ht="21" customHeight="1" x14ac:dyDescent="0.25">
      <c r="A9" s="50" t="s">
        <v>32</v>
      </c>
      <c r="B9" s="245" t="s">
        <v>91</v>
      </c>
      <c r="C9" s="184"/>
      <c r="D9" s="185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18"/>
      <c r="AD9" s="18"/>
      <c r="AE9" s="37"/>
      <c r="AF9" s="37"/>
      <c r="AG9" s="37"/>
      <c r="AH9" s="37"/>
      <c r="AI9" s="46"/>
      <c r="AJ9" s="51" t="s">
        <v>31</v>
      </c>
    </row>
    <row r="10" spans="1:36" ht="21" customHeight="1" x14ac:dyDescent="0.25">
      <c r="A10" s="246" t="s">
        <v>33</v>
      </c>
      <c r="B10" s="247" t="s">
        <v>93</v>
      </c>
      <c r="C10" s="239"/>
      <c r="D10" s="37" t="s">
        <v>88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18"/>
      <c r="AD10" s="18"/>
      <c r="AE10" s="37"/>
      <c r="AF10" s="37"/>
      <c r="AG10" s="46"/>
      <c r="AH10" s="46"/>
      <c r="AI10" s="46"/>
      <c r="AJ10" s="51" t="s">
        <v>31</v>
      </c>
    </row>
    <row r="11" spans="1:36" ht="21" customHeight="1" x14ac:dyDescent="0.25">
      <c r="A11" s="187"/>
      <c r="B11" s="240"/>
      <c r="C11" s="241"/>
      <c r="D11" s="39" t="s">
        <v>89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23"/>
      <c r="AD11" s="23"/>
      <c r="AE11" s="39"/>
      <c r="AF11" s="39"/>
      <c r="AG11" s="47"/>
      <c r="AH11" s="47"/>
      <c r="AI11" s="47"/>
      <c r="AJ11" s="52" t="s">
        <v>31</v>
      </c>
    </row>
    <row r="12" spans="1:36" ht="21" customHeight="1" thickTop="1" thickBot="1" x14ac:dyDescent="0.3">
      <c r="A12" s="53" t="s">
        <v>34</v>
      </c>
      <c r="B12" s="248" t="s">
        <v>94</v>
      </c>
      <c r="C12" s="193"/>
      <c r="D12" s="194"/>
      <c r="E12" s="41">
        <f t="shared" ref="E12:AI12" si="2">E9-E8</f>
        <v>0</v>
      </c>
      <c r="F12" s="41">
        <f t="shared" si="2"/>
        <v>0</v>
      </c>
      <c r="G12" s="41">
        <f t="shared" si="2"/>
        <v>0</v>
      </c>
      <c r="H12" s="41">
        <f t="shared" si="2"/>
        <v>0</v>
      </c>
      <c r="I12" s="41">
        <f t="shared" si="2"/>
        <v>0</v>
      </c>
      <c r="J12" s="41">
        <f t="shared" si="2"/>
        <v>0</v>
      </c>
      <c r="K12" s="41">
        <f t="shared" si="2"/>
        <v>0</v>
      </c>
      <c r="L12" s="41">
        <f t="shared" si="2"/>
        <v>0</v>
      </c>
      <c r="M12" s="41">
        <f t="shared" si="2"/>
        <v>0</v>
      </c>
      <c r="N12" s="41">
        <f t="shared" si="2"/>
        <v>0</v>
      </c>
      <c r="O12" s="41">
        <f t="shared" si="2"/>
        <v>0</v>
      </c>
      <c r="P12" s="41">
        <f t="shared" si="2"/>
        <v>0</v>
      </c>
      <c r="Q12" s="41">
        <f t="shared" si="2"/>
        <v>0</v>
      </c>
      <c r="R12" s="41">
        <f t="shared" si="2"/>
        <v>0</v>
      </c>
      <c r="S12" s="41">
        <f t="shared" si="2"/>
        <v>0</v>
      </c>
      <c r="T12" s="41">
        <f t="shared" si="2"/>
        <v>0</v>
      </c>
      <c r="U12" s="41">
        <f t="shared" si="2"/>
        <v>0</v>
      </c>
      <c r="V12" s="41">
        <f t="shared" si="2"/>
        <v>0</v>
      </c>
      <c r="W12" s="41">
        <f t="shared" si="2"/>
        <v>0</v>
      </c>
      <c r="X12" s="41">
        <f t="shared" si="2"/>
        <v>0</v>
      </c>
      <c r="Y12" s="41">
        <f t="shared" si="2"/>
        <v>0</v>
      </c>
      <c r="Z12" s="41">
        <f t="shared" si="2"/>
        <v>0</v>
      </c>
      <c r="AA12" s="41">
        <f t="shared" si="2"/>
        <v>0</v>
      </c>
      <c r="AB12" s="41">
        <f t="shared" si="2"/>
        <v>0</v>
      </c>
      <c r="AC12" s="128">
        <f t="shared" si="2"/>
        <v>0</v>
      </c>
      <c r="AD12" s="128">
        <f t="shared" si="2"/>
        <v>0</v>
      </c>
      <c r="AE12" s="41">
        <f t="shared" si="2"/>
        <v>0</v>
      </c>
      <c r="AF12" s="41">
        <f t="shared" si="2"/>
        <v>0</v>
      </c>
      <c r="AG12" s="41">
        <f t="shared" si="2"/>
        <v>0</v>
      </c>
      <c r="AH12" s="41">
        <f t="shared" si="2"/>
        <v>0</v>
      </c>
      <c r="AI12" s="54">
        <f t="shared" si="2"/>
        <v>0</v>
      </c>
      <c r="AJ12" s="55">
        <f t="shared" ref="AJ12:AJ40" si="3">SUM(E12:AI12)</f>
        <v>0</v>
      </c>
    </row>
    <row r="13" spans="1:36" ht="21" customHeight="1" thickTop="1" x14ac:dyDescent="0.25">
      <c r="A13" s="28" t="s">
        <v>35</v>
      </c>
      <c r="B13" s="216" t="s">
        <v>80</v>
      </c>
      <c r="C13" s="231"/>
      <c r="D13" s="217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125"/>
      <c r="AD13" s="125"/>
      <c r="AE13" s="30"/>
      <c r="AF13" s="30"/>
      <c r="AG13" s="83"/>
      <c r="AH13" s="83"/>
      <c r="AI13" s="83"/>
      <c r="AJ13" s="84">
        <f t="shared" si="3"/>
        <v>0</v>
      </c>
    </row>
    <row r="14" spans="1:36" ht="21" customHeight="1" x14ac:dyDescent="0.25">
      <c r="A14" s="20" t="s">
        <v>36</v>
      </c>
      <c r="B14" s="183" t="s">
        <v>95</v>
      </c>
      <c r="C14" s="184"/>
      <c r="D14" s="185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23"/>
      <c r="AD14" s="123"/>
      <c r="AE14" s="19"/>
      <c r="AF14" s="19"/>
      <c r="AG14" s="79"/>
      <c r="AH14" s="79"/>
      <c r="AI14" s="79"/>
      <c r="AJ14" s="21">
        <f t="shared" si="3"/>
        <v>0</v>
      </c>
    </row>
    <row r="15" spans="1:36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23"/>
      <c r="AD15" s="123"/>
      <c r="AE15" s="19"/>
      <c r="AF15" s="19"/>
      <c r="AG15" s="79"/>
      <c r="AH15" s="79"/>
      <c r="AI15" s="79"/>
      <c r="AJ15" s="21">
        <f t="shared" si="3"/>
        <v>0</v>
      </c>
    </row>
    <row r="16" spans="1:36" ht="21" customHeight="1" x14ac:dyDescent="0.25">
      <c r="A16" s="20"/>
      <c r="B16" s="220"/>
      <c r="C16" s="220"/>
      <c r="D16" s="140" t="s">
        <v>97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23"/>
      <c r="AD16" s="123"/>
      <c r="AE16" s="19"/>
      <c r="AF16" s="19"/>
      <c r="AG16" s="79"/>
      <c r="AH16" s="79"/>
      <c r="AI16" s="79"/>
      <c r="AJ16" s="21">
        <f t="shared" si="3"/>
        <v>0</v>
      </c>
    </row>
    <row r="17" spans="1:36" ht="21" customHeight="1" x14ac:dyDescent="0.25">
      <c r="A17" s="20"/>
      <c r="B17" s="220"/>
      <c r="C17" s="232"/>
      <c r="D17" s="140" t="s">
        <v>98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23"/>
      <c r="AD17" s="123"/>
      <c r="AE17" s="19"/>
      <c r="AF17" s="19"/>
      <c r="AG17" s="79"/>
      <c r="AH17" s="79"/>
      <c r="AI17" s="79"/>
      <c r="AJ17" s="21">
        <f t="shared" si="3"/>
        <v>0</v>
      </c>
    </row>
    <row r="18" spans="1:36" ht="21" customHeight="1" x14ac:dyDescent="0.25">
      <c r="A18" s="20"/>
      <c r="B18" s="220"/>
      <c r="C18" s="183" t="s">
        <v>100</v>
      </c>
      <c r="D18" s="185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23">
        <v>8</v>
      </c>
      <c r="AD18" s="123"/>
      <c r="AE18" s="19"/>
      <c r="AF18" s="19"/>
      <c r="AG18" s="79"/>
      <c r="AH18" s="79"/>
      <c r="AI18" s="79"/>
      <c r="AJ18" s="21">
        <f t="shared" si="3"/>
        <v>8</v>
      </c>
    </row>
    <row r="19" spans="1:36" ht="30" customHeight="1" x14ac:dyDescent="0.25">
      <c r="A19" s="20"/>
      <c r="B19" s="220"/>
      <c r="C19" s="224" t="s">
        <v>105</v>
      </c>
      <c r="D19" s="185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23"/>
      <c r="AD19" s="123"/>
      <c r="AE19" s="19"/>
      <c r="AF19" s="19"/>
      <c r="AG19" s="79"/>
      <c r="AH19" s="79"/>
      <c r="AI19" s="79"/>
      <c r="AJ19" s="21">
        <f t="shared" si="3"/>
        <v>0</v>
      </c>
    </row>
    <row r="20" spans="1:36" ht="21" customHeight="1" x14ac:dyDescent="0.25">
      <c r="A20" s="20"/>
      <c r="B20" s="220"/>
      <c r="C20" s="183" t="s">
        <v>106</v>
      </c>
      <c r="D20" s="185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23"/>
      <c r="AD20" s="123"/>
      <c r="AE20" s="19"/>
      <c r="AF20" s="19"/>
      <c r="AG20" s="79"/>
      <c r="AH20" s="79"/>
      <c r="AI20" s="79"/>
      <c r="AJ20" s="21">
        <f t="shared" si="3"/>
        <v>0</v>
      </c>
    </row>
    <row r="21" spans="1:36" ht="21" customHeight="1" x14ac:dyDescent="0.25">
      <c r="A21" s="20"/>
      <c r="B21" s="220"/>
      <c r="C21" s="183" t="s">
        <v>107</v>
      </c>
      <c r="D21" s="185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3"/>
      <c r="AD21" s="123"/>
      <c r="AE21" s="19"/>
      <c r="AF21" s="19"/>
      <c r="AG21" s="79"/>
      <c r="AH21" s="79"/>
      <c r="AI21" s="79"/>
      <c r="AJ21" s="21">
        <f t="shared" si="3"/>
        <v>0</v>
      </c>
    </row>
    <row r="22" spans="1:36" ht="21" customHeight="1" x14ac:dyDescent="0.25">
      <c r="A22" s="20"/>
      <c r="B22" s="220"/>
      <c r="C22" s="183" t="s">
        <v>108</v>
      </c>
      <c r="D22" s="185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23"/>
      <c r="AD22" s="123"/>
      <c r="AE22" s="19"/>
      <c r="AF22" s="19"/>
      <c r="AG22" s="79"/>
      <c r="AH22" s="79"/>
      <c r="AI22" s="79"/>
      <c r="AJ22" s="21">
        <f t="shared" si="3"/>
        <v>0</v>
      </c>
    </row>
    <row r="23" spans="1:36" ht="21" customHeight="1" x14ac:dyDescent="0.25">
      <c r="A23" s="20"/>
      <c r="B23" s="220"/>
      <c r="C23" s="229" t="s">
        <v>122</v>
      </c>
      <c r="D23" s="23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23"/>
      <c r="AD23" s="123"/>
      <c r="AE23" s="19"/>
      <c r="AF23" s="19"/>
      <c r="AG23" s="79"/>
      <c r="AH23" s="79"/>
      <c r="AI23" s="79"/>
      <c r="AJ23" s="21">
        <f t="shared" si="3"/>
        <v>0</v>
      </c>
    </row>
    <row r="24" spans="1:36" ht="21" customHeight="1" x14ac:dyDescent="0.25">
      <c r="A24" s="20"/>
      <c r="B24" s="220"/>
      <c r="C24" s="183" t="s">
        <v>113</v>
      </c>
      <c r="D24" s="185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23"/>
      <c r="AD24" s="123"/>
      <c r="AE24" s="19"/>
      <c r="AF24" s="19"/>
      <c r="AG24" s="79"/>
      <c r="AH24" s="79"/>
      <c r="AI24" s="79"/>
      <c r="AJ24" s="21">
        <f t="shared" si="3"/>
        <v>0</v>
      </c>
    </row>
    <row r="25" spans="1:36" ht="30" customHeight="1" x14ac:dyDescent="0.25">
      <c r="A25" s="20"/>
      <c r="B25" s="220"/>
      <c r="C25" s="224" t="s">
        <v>114</v>
      </c>
      <c r="D25" s="185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23"/>
      <c r="AD25" s="123"/>
      <c r="AE25" s="19"/>
      <c r="AF25" s="19"/>
      <c r="AG25" s="79"/>
      <c r="AH25" s="79"/>
      <c r="AI25" s="79"/>
      <c r="AJ25" s="21">
        <f t="shared" si="3"/>
        <v>0</v>
      </c>
    </row>
    <row r="26" spans="1:36" ht="21" customHeight="1" x14ac:dyDescent="0.25">
      <c r="A26" s="20"/>
      <c r="B26" s="220"/>
      <c r="C26" s="183" t="s">
        <v>115</v>
      </c>
      <c r="D26" s="185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23"/>
      <c r="AD26" s="123"/>
      <c r="AE26" s="19"/>
      <c r="AF26" s="19"/>
      <c r="AG26" s="79"/>
      <c r="AH26" s="79"/>
      <c r="AI26" s="79"/>
      <c r="AJ26" s="21">
        <f t="shared" si="3"/>
        <v>0</v>
      </c>
    </row>
    <row r="27" spans="1:36" ht="21" customHeight="1" x14ac:dyDescent="0.25">
      <c r="A27" s="20"/>
      <c r="B27" s="220"/>
      <c r="C27" s="183" t="s">
        <v>116</v>
      </c>
      <c r="D27" s="185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23"/>
      <c r="AD27" s="123"/>
      <c r="AE27" s="19"/>
      <c r="AF27" s="19"/>
      <c r="AG27" s="79"/>
      <c r="AH27" s="79"/>
      <c r="AI27" s="79"/>
      <c r="AJ27" s="21">
        <f t="shared" si="3"/>
        <v>0</v>
      </c>
    </row>
    <row r="28" spans="1:36" ht="21" customHeight="1" x14ac:dyDescent="0.25">
      <c r="A28" s="20"/>
      <c r="B28" s="220"/>
      <c r="C28" s="225" t="s">
        <v>121</v>
      </c>
      <c r="D28" s="226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23"/>
      <c r="AD28" s="123"/>
      <c r="AE28" s="19"/>
      <c r="AF28" s="19"/>
      <c r="AG28" s="79"/>
      <c r="AH28" s="79"/>
      <c r="AI28" s="79"/>
      <c r="AJ28" s="21">
        <f t="shared" si="3"/>
        <v>0</v>
      </c>
    </row>
    <row r="29" spans="1:36" ht="21" customHeight="1" x14ac:dyDescent="0.25">
      <c r="A29" s="20"/>
      <c r="B29" s="220"/>
      <c r="C29" s="183" t="s">
        <v>120</v>
      </c>
      <c r="D29" s="22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23"/>
      <c r="AD29" s="123"/>
      <c r="AE29" s="19"/>
      <c r="AF29" s="19"/>
      <c r="AG29" s="79"/>
      <c r="AH29" s="79"/>
      <c r="AI29" s="79"/>
      <c r="AJ29" s="21">
        <f t="shared" si="3"/>
        <v>0</v>
      </c>
    </row>
    <row r="30" spans="1:36" ht="21" customHeight="1" x14ac:dyDescent="0.25">
      <c r="A30" s="20"/>
      <c r="B30" s="220"/>
      <c r="C30" s="183" t="s">
        <v>117</v>
      </c>
      <c r="D30" s="18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23"/>
      <c r="AD30" s="123"/>
      <c r="AE30" s="19"/>
      <c r="AF30" s="19"/>
      <c r="AG30" s="79"/>
      <c r="AH30" s="79"/>
      <c r="AI30" s="79"/>
      <c r="AJ30" s="21">
        <f t="shared" si="3"/>
        <v>0</v>
      </c>
    </row>
    <row r="31" spans="1:36" ht="21" customHeight="1" x14ac:dyDescent="0.25">
      <c r="A31" s="20"/>
      <c r="B31" s="220"/>
      <c r="C31" s="183" t="s">
        <v>118</v>
      </c>
      <c r="D31" s="185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23"/>
      <c r="AD31" s="123"/>
      <c r="AE31" s="19"/>
      <c r="AF31" s="19"/>
      <c r="AG31" s="79"/>
      <c r="AH31" s="79"/>
      <c r="AI31" s="79"/>
      <c r="AJ31" s="21">
        <f t="shared" si="3"/>
        <v>0</v>
      </c>
    </row>
    <row r="32" spans="1:36" ht="21" customHeight="1" x14ac:dyDescent="0.25">
      <c r="A32" s="20"/>
      <c r="B32" s="220"/>
      <c r="C32" s="183" t="s">
        <v>119</v>
      </c>
      <c r="D32" s="22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23"/>
      <c r="AD32" s="123"/>
      <c r="AE32" s="19"/>
      <c r="AF32" s="19"/>
      <c r="AG32" s="79"/>
      <c r="AH32" s="79"/>
      <c r="AI32" s="79"/>
      <c r="AJ32" s="21">
        <f t="shared" si="3"/>
        <v>0</v>
      </c>
    </row>
    <row r="33" spans="1:36" ht="21" customHeight="1" x14ac:dyDescent="0.25">
      <c r="A33" s="20"/>
      <c r="B33" s="220"/>
      <c r="C33" s="183" t="s">
        <v>111</v>
      </c>
      <c r="D33" s="18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23"/>
      <c r="AD33" s="123"/>
      <c r="AE33" s="19"/>
      <c r="AF33" s="19"/>
      <c r="AG33" s="79"/>
      <c r="AH33" s="79"/>
      <c r="AI33" s="79"/>
      <c r="AJ33" s="21">
        <f t="shared" si="3"/>
        <v>0</v>
      </c>
    </row>
    <row r="34" spans="1:36" ht="21" customHeight="1" thickBot="1" x14ac:dyDescent="0.3">
      <c r="A34" s="31"/>
      <c r="B34" s="221"/>
      <c r="C34" s="222" t="s">
        <v>112</v>
      </c>
      <c r="D34" s="223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124"/>
      <c r="AD34" s="124"/>
      <c r="AE34" s="22"/>
      <c r="AF34" s="22"/>
      <c r="AG34" s="80"/>
      <c r="AH34" s="80"/>
      <c r="AI34" s="80"/>
      <c r="AJ34" s="24">
        <f t="shared" si="3"/>
        <v>0</v>
      </c>
    </row>
    <row r="35" spans="1:36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125"/>
      <c r="AD35" s="125"/>
      <c r="AE35" s="30"/>
      <c r="AF35" s="30"/>
      <c r="AG35" s="83"/>
      <c r="AH35" s="83"/>
      <c r="AI35" s="83"/>
      <c r="AJ35" s="84">
        <f t="shared" si="3"/>
        <v>0</v>
      </c>
    </row>
    <row r="36" spans="1:36" ht="21" customHeight="1" x14ac:dyDescent="0.25">
      <c r="A36" s="206"/>
      <c r="B36" s="220"/>
      <c r="C36" s="183" t="s">
        <v>102</v>
      </c>
      <c r="D36" s="185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23"/>
      <c r="AD36" s="123"/>
      <c r="AE36" s="19"/>
      <c r="AF36" s="19"/>
      <c r="AG36" s="79"/>
      <c r="AH36" s="79"/>
      <c r="AI36" s="79"/>
      <c r="AJ36" s="21">
        <f t="shared" si="3"/>
        <v>0</v>
      </c>
    </row>
    <row r="37" spans="1:36" ht="21" customHeight="1" thickBot="1" x14ac:dyDescent="0.3">
      <c r="A37" s="187"/>
      <c r="B37" s="221"/>
      <c r="C37" s="222" t="s">
        <v>103</v>
      </c>
      <c r="D37" s="223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124"/>
      <c r="AD37" s="124"/>
      <c r="AE37" s="22"/>
      <c r="AF37" s="22"/>
      <c r="AG37" s="80"/>
      <c r="AH37" s="80"/>
      <c r="AI37" s="80"/>
      <c r="AJ37" s="24">
        <f t="shared" si="3"/>
        <v>0</v>
      </c>
    </row>
    <row r="38" spans="1:36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125"/>
      <c r="AD38" s="125"/>
      <c r="AE38" s="30"/>
      <c r="AF38" s="30"/>
      <c r="AG38" s="83"/>
      <c r="AH38" s="83"/>
      <c r="AI38" s="83"/>
      <c r="AJ38" s="84">
        <f t="shared" si="3"/>
        <v>0</v>
      </c>
    </row>
    <row r="39" spans="1:36" ht="21" customHeight="1" x14ac:dyDescent="0.25">
      <c r="A39" s="206"/>
      <c r="B39" s="220"/>
      <c r="C39" s="183" t="s">
        <v>102</v>
      </c>
      <c r="D39" s="185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23"/>
      <c r="AD39" s="123"/>
      <c r="AE39" s="19"/>
      <c r="AF39" s="19"/>
      <c r="AG39" s="79"/>
      <c r="AH39" s="79"/>
      <c r="AI39" s="79"/>
      <c r="AJ39" s="21">
        <f t="shared" si="3"/>
        <v>0</v>
      </c>
    </row>
    <row r="40" spans="1:36" ht="21" customHeight="1" thickBot="1" x14ac:dyDescent="0.3">
      <c r="A40" s="187"/>
      <c r="B40" s="221"/>
      <c r="C40" s="222" t="s">
        <v>103</v>
      </c>
      <c r="D40" s="22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124"/>
      <c r="AD40" s="124"/>
      <c r="AE40" s="22"/>
      <c r="AF40" s="22"/>
      <c r="AG40" s="85"/>
      <c r="AH40" s="85"/>
      <c r="AI40" s="85"/>
      <c r="AJ40" s="86">
        <f t="shared" si="3"/>
        <v>0</v>
      </c>
    </row>
    <row r="41" spans="1:36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2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5"/>
      <c r="AI41" s="236"/>
      <c r="AJ41" s="33">
        <f>SUM(AJ12:AJ40)</f>
        <v>8</v>
      </c>
    </row>
    <row r="42" spans="1:36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12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27"/>
      <c r="AG42" s="127"/>
      <c r="AH42" s="17"/>
      <c r="AI42" s="17"/>
      <c r="AJ42" s="17"/>
    </row>
    <row r="43" spans="1:36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12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  <c r="AJ43" s="17"/>
    </row>
    <row r="44" spans="1:36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12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27"/>
      <c r="AG44" s="127"/>
      <c r="AH44" s="17"/>
      <c r="AI44" s="17"/>
      <c r="AJ44" s="17"/>
    </row>
    <row r="45" spans="1:36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2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27"/>
      <c r="AG45" s="127"/>
      <c r="AH45" s="17"/>
      <c r="AI45" s="17"/>
      <c r="AJ45" s="17"/>
    </row>
    <row r="46" spans="1:36" ht="12.75" customHeight="1" x14ac:dyDescent="0.2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</row>
    <row r="47" spans="1:36" ht="12.75" customHeight="1" x14ac:dyDescent="0.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</row>
    <row r="48" spans="1:36" ht="12.75" customHeight="1" x14ac:dyDescent="0.2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</row>
    <row r="49" spans="1:36" ht="12.75" customHeight="1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</row>
    <row r="50" spans="1:36" ht="12.75" customHeight="1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</row>
    <row r="51" spans="1:36" ht="12.75" customHeight="1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</row>
    <row r="52" spans="1:36" ht="12.75" customHeight="1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</row>
    <row r="53" spans="1:36" ht="12.75" customHeight="1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</row>
    <row r="54" spans="1:36" ht="12.75" customHeight="1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</row>
    <row r="55" spans="1:36" ht="12.75" customHeight="1" x14ac:dyDescent="0.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</row>
    <row r="56" spans="1:36" ht="12.75" customHeight="1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</row>
    <row r="57" spans="1:36" ht="12.75" customHeight="1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</row>
    <row r="58" spans="1:36" ht="12.75" customHeight="1" x14ac:dyDescent="0.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</row>
    <row r="59" spans="1:36" ht="12.75" customHeight="1" x14ac:dyDescent="0.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</row>
    <row r="60" spans="1:36" ht="12.75" customHeight="1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</row>
    <row r="61" spans="1:36" ht="12.75" customHeight="1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</row>
    <row r="62" spans="1:36" ht="12.75" customHeight="1" x14ac:dyDescent="0.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</row>
    <row r="63" spans="1:36" ht="12.75" customHeight="1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</row>
    <row r="64" spans="1:36" ht="12.75" customHeight="1" x14ac:dyDescent="0.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</row>
    <row r="65" spans="1:36" ht="12.75" customHeight="1" x14ac:dyDescent="0.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</row>
    <row r="66" spans="1:36" ht="12.75" customHeight="1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</row>
    <row r="67" spans="1:36" ht="12.75" customHeight="1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</row>
    <row r="68" spans="1:36" ht="12.75" customHeight="1" x14ac:dyDescent="0.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</row>
    <row r="69" spans="1:36" ht="12.75" customHeight="1" x14ac:dyDescent="0.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</row>
    <row r="70" spans="1:36" ht="12.75" customHeight="1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</row>
    <row r="71" spans="1:36" ht="12.75" customHeight="1" x14ac:dyDescent="0.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</row>
    <row r="72" spans="1:36" ht="12.75" customHeight="1" x14ac:dyDescent="0.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</row>
    <row r="73" spans="1:36" ht="12.75" customHeight="1" x14ac:dyDescent="0.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</row>
    <row r="74" spans="1:36" ht="12.75" customHeight="1" x14ac:dyDescent="0.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</row>
    <row r="75" spans="1:36" ht="12.75" customHeight="1" x14ac:dyDescent="0.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</row>
    <row r="76" spans="1:36" ht="12.75" customHeight="1" x14ac:dyDescent="0.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</row>
    <row r="77" spans="1:36" ht="12.75" customHeight="1" x14ac:dyDescent="0.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</row>
    <row r="78" spans="1:36" ht="12.75" customHeight="1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</row>
    <row r="79" spans="1:36" ht="12.75" customHeight="1" x14ac:dyDescent="0.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</row>
    <row r="80" spans="1:36" ht="12.75" customHeight="1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</row>
    <row r="81" spans="1:36" ht="12.75" customHeight="1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</row>
    <row r="82" spans="1:36" ht="12.75" customHeight="1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</row>
    <row r="83" spans="1:36" ht="12.75" customHeight="1" x14ac:dyDescent="0.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</row>
    <row r="84" spans="1:36" ht="12.75" customHeight="1" x14ac:dyDescent="0.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</row>
    <row r="85" spans="1:36" ht="12.75" customHeight="1" x14ac:dyDescent="0.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</row>
    <row r="86" spans="1:36" ht="12.75" customHeight="1" x14ac:dyDescent="0.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</row>
    <row r="87" spans="1:36" ht="12.75" customHeight="1" x14ac:dyDescent="0.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</row>
    <row r="88" spans="1:36" ht="12.75" customHeight="1" x14ac:dyDescent="0.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</row>
    <row r="89" spans="1:36" ht="12.75" customHeight="1" x14ac:dyDescent="0.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</row>
    <row r="90" spans="1:36" ht="12.75" customHeight="1" x14ac:dyDescent="0.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</row>
    <row r="91" spans="1:36" ht="12.75" customHeight="1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</row>
    <row r="92" spans="1:36" ht="12.75" customHeight="1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</row>
    <row r="93" spans="1:36" ht="12.75" customHeight="1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</row>
    <row r="94" spans="1:36" ht="12.75" customHeight="1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</row>
    <row r="95" spans="1:36" ht="12.75" customHeight="1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</row>
    <row r="96" spans="1:36" ht="12.75" customHeight="1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</row>
    <row r="97" spans="1:36" ht="12.75" customHeight="1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</row>
    <row r="98" spans="1:36" ht="12.75" customHeight="1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</row>
    <row r="99" spans="1:36" ht="12.75" customHeight="1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</row>
    <row r="100" spans="1:36" ht="12.75" customHeight="1" x14ac:dyDescent="0.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B8:D8"/>
    <mergeCell ref="B9:D9"/>
    <mergeCell ref="A10:A11"/>
    <mergeCell ref="B10:C11"/>
    <mergeCell ref="B12:D12"/>
  </mergeCells>
  <pageMargins left="0.43307086614173229" right="0.39370078740157483" top="0.31496062992125984" bottom="0.31496062992125984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00"/>
  <sheetViews>
    <sheetView showGridLines="0" topLeftCell="A78" workbookViewId="0">
      <selection activeCell="I77" sqref="I77"/>
    </sheetView>
  </sheetViews>
  <sheetFormatPr defaultColWidth="14.42578125" defaultRowHeight="15" x14ac:dyDescent="0.25"/>
  <cols>
    <col min="1" max="1" width="49.28515625" bestFit="1" customWidth="1"/>
    <col min="2" max="2" width="5" customWidth="1"/>
    <col min="3" max="3" width="9.140625" customWidth="1"/>
    <col min="4" max="4" width="9.7109375" customWidth="1"/>
    <col min="5" max="5" width="23.7109375" bestFit="1" customWidth="1"/>
    <col min="6" max="6" width="15.85546875" customWidth="1"/>
    <col min="7" max="8" width="9.140625" customWidth="1"/>
    <col min="9" max="9" width="87.140625" customWidth="1"/>
  </cols>
  <sheetData>
    <row r="1" spans="1:9" x14ac:dyDescent="0.25">
      <c r="A1" s="273" t="s">
        <v>136</v>
      </c>
      <c r="B1" s="259"/>
      <c r="C1" s="259"/>
      <c r="D1" s="259"/>
      <c r="E1" s="259"/>
      <c r="F1" s="259"/>
      <c r="G1" s="260"/>
      <c r="H1" s="56"/>
    </row>
    <row r="2" spans="1:9" x14ac:dyDescent="0.25">
      <c r="A2" s="274"/>
      <c r="B2" s="259"/>
      <c r="C2" s="259"/>
      <c r="D2" s="259"/>
      <c r="E2" s="259"/>
      <c r="F2" s="259"/>
      <c r="G2" s="260"/>
      <c r="H2" s="56"/>
    </row>
    <row r="3" spans="1:9" ht="19.5" x14ac:dyDescent="0.25">
      <c r="A3" s="275" t="s">
        <v>135</v>
      </c>
      <c r="B3" s="259"/>
      <c r="C3" s="259"/>
      <c r="D3" s="259"/>
      <c r="E3" s="259"/>
      <c r="F3" s="259"/>
      <c r="G3" s="260"/>
      <c r="H3" s="56"/>
      <c r="I3" s="57"/>
    </row>
    <row r="4" spans="1:9" x14ac:dyDescent="0.25">
      <c r="A4" s="264"/>
      <c r="B4" s="259"/>
      <c r="C4" s="259"/>
      <c r="D4" s="259"/>
      <c r="E4" s="259"/>
      <c r="F4" s="259"/>
      <c r="G4" s="260"/>
      <c r="H4" s="56"/>
    </row>
    <row r="5" spans="1:9" ht="15.75" x14ac:dyDescent="0.25">
      <c r="A5" s="58" t="s">
        <v>137</v>
      </c>
      <c r="B5" s="266"/>
      <c r="C5" s="259"/>
      <c r="D5" s="265"/>
      <c r="E5" s="59" t="s">
        <v>40</v>
      </c>
      <c r="F5" s="266"/>
      <c r="G5" s="260"/>
      <c r="H5" s="56"/>
      <c r="I5" s="57"/>
    </row>
    <row r="6" spans="1:9" ht="22.5" x14ac:dyDescent="0.25">
      <c r="A6" s="62" t="s">
        <v>138</v>
      </c>
      <c r="B6" s="266"/>
      <c r="C6" s="259"/>
      <c r="D6" s="265"/>
      <c r="E6" s="141" t="s">
        <v>139</v>
      </c>
      <c r="F6" s="272"/>
      <c r="G6" s="260"/>
      <c r="H6" s="56"/>
    </row>
    <row r="7" spans="1:9" ht="22.5" x14ac:dyDescent="0.25">
      <c r="A7" s="62" t="s">
        <v>140</v>
      </c>
      <c r="B7" s="266"/>
      <c r="C7" s="259"/>
      <c r="D7" s="265"/>
      <c r="E7" s="59"/>
      <c r="F7" s="266"/>
      <c r="G7" s="260"/>
      <c r="H7" s="56"/>
      <c r="I7" s="57"/>
    </row>
    <row r="8" spans="1:9" ht="22.5" x14ac:dyDescent="0.25">
      <c r="A8" s="62" t="s">
        <v>141</v>
      </c>
      <c r="B8" s="266"/>
      <c r="C8" s="259"/>
      <c r="D8" s="265"/>
      <c r="E8" s="59" t="s">
        <v>142</v>
      </c>
      <c r="F8" s="266"/>
      <c r="G8" s="260"/>
      <c r="H8" s="56"/>
    </row>
    <row r="9" spans="1:9" ht="15.75" x14ac:dyDescent="0.25">
      <c r="A9" s="264"/>
      <c r="B9" s="259"/>
      <c r="C9" s="259"/>
      <c r="D9" s="259"/>
      <c r="E9" s="259"/>
      <c r="F9" s="259"/>
      <c r="G9" s="260"/>
      <c r="H9" s="56"/>
      <c r="I9" s="57"/>
    </row>
    <row r="10" spans="1:9" ht="15.75" x14ac:dyDescent="0.25">
      <c r="A10" s="258" t="s">
        <v>143</v>
      </c>
      <c r="B10" s="259"/>
      <c r="C10" s="259"/>
      <c r="D10" s="259"/>
      <c r="E10" s="259"/>
      <c r="F10" s="259"/>
      <c r="G10" s="260"/>
      <c r="H10" s="56"/>
      <c r="I10" s="57"/>
    </row>
    <row r="11" spans="1:9" x14ac:dyDescent="0.25">
      <c r="A11" s="58" t="s">
        <v>144</v>
      </c>
      <c r="B11" s="266"/>
      <c r="C11" s="259"/>
      <c r="D11" s="265"/>
      <c r="E11" s="59" t="s">
        <v>145</v>
      </c>
      <c r="F11" s="266"/>
      <c r="G11" s="260"/>
      <c r="H11" s="56"/>
    </row>
    <row r="12" spans="1:9" ht="15.75" x14ac:dyDescent="0.25">
      <c r="A12" s="58" t="s">
        <v>146</v>
      </c>
      <c r="B12" s="266"/>
      <c r="C12" s="259"/>
      <c r="D12" s="259"/>
      <c r="E12" s="259"/>
      <c r="F12" s="259"/>
      <c r="G12" s="260"/>
      <c r="H12" s="56"/>
      <c r="I12" s="57"/>
    </row>
    <row r="13" spans="1:9" x14ac:dyDescent="0.25">
      <c r="A13" s="264"/>
      <c r="B13" s="259"/>
      <c r="C13" s="259"/>
      <c r="D13" s="259"/>
      <c r="E13" s="259"/>
      <c r="F13" s="259"/>
      <c r="G13" s="260"/>
      <c r="H13" s="56"/>
    </row>
    <row r="14" spans="1:9" ht="15.75" x14ac:dyDescent="0.25">
      <c r="A14" s="258" t="s">
        <v>147</v>
      </c>
      <c r="B14" s="259"/>
      <c r="C14" s="259"/>
      <c r="D14" s="259"/>
      <c r="E14" s="259"/>
      <c r="F14" s="259"/>
      <c r="G14" s="260"/>
      <c r="H14" s="56"/>
      <c r="I14" s="57"/>
    </row>
    <row r="15" spans="1:9" ht="15.75" x14ac:dyDescent="0.25">
      <c r="A15" s="58" t="s">
        <v>148</v>
      </c>
      <c r="B15" s="266"/>
      <c r="C15" s="259"/>
      <c r="D15" s="265"/>
      <c r="E15" s="59" t="s">
        <v>149</v>
      </c>
      <c r="F15" s="266"/>
      <c r="G15" s="260"/>
      <c r="H15" s="56"/>
      <c r="I15" s="57"/>
    </row>
    <row r="16" spans="1:9" ht="15.75" x14ac:dyDescent="0.25">
      <c r="A16" s="58" t="s">
        <v>150</v>
      </c>
      <c r="B16" s="266"/>
      <c r="C16" s="259"/>
      <c r="D16" s="259"/>
      <c r="E16" s="259"/>
      <c r="F16" s="259"/>
      <c r="G16" s="260"/>
      <c r="H16" s="56"/>
      <c r="I16" s="57"/>
    </row>
    <row r="17" spans="1:9" ht="15.75" x14ac:dyDescent="0.25">
      <c r="A17" s="58" t="s">
        <v>151</v>
      </c>
      <c r="B17" s="266"/>
      <c r="C17" s="259"/>
      <c r="D17" s="259"/>
      <c r="E17" s="259"/>
      <c r="F17" s="259"/>
      <c r="G17" s="260"/>
      <c r="H17" s="56"/>
      <c r="I17" s="57"/>
    </row>
    <row r="18" spans="1:9" ht="15.75" x14ac:dyDescent="0.25">
      <c r="A18" s="58" t="s">
        <v>152</v>
      </c>
      <c r="B18" s="266"/>
      <c r="C18" s="259"/>
      <c r="D18" s="259"/>
      <c r="E18" s="259"/>
      <c r="F18" s="259"/>
      <c r="G18" s="260"/>
      <c r="H18" s="56"/>
      <c r="I18" s="57"/>
    </row>
    <row r="19" spans="1:9" ht="15.75" x14ac:dyDescent="0.25">
      <c r="A19" s="264"/>
      <c r="B19" s="259"/>
      <c r="C19" s="259"/>
      <c r="D19" s="259"/>
      <c r="E19" s="259"/>
      <c r="F19" s="259"/>
      <c r="G19" s="260"/>
      <c r="H19" s="56"/>
      <c r="I19" s="57"/>
    </row>
    <row r="20" spans="1:9" ht="15.75" x14ac:dyDescent="0.25">
      <c r="A20" s="258" t="s">
        <v>153</v>
      </c>
      <c r="B20" s="259"/>
      <c r="C20" s="259"/>
      <c r="D20" s="259"/>
      <c r="E20" s="259"/>
      <c r="F20" s="259"/>
      <c r="G20" s="260"/>
      <c r="H20" s="56"/>
      <c r="I20" s="57"/>
    </row>
    <row r="21" spans="1:9" x14ac:dyDescent="0.25">
      <c r="A21" s="58" t="s">
        <v>154</v>
      </c>
      <c r="B21" s="271"/>
      <c r="C21" s="259"/>
      <c r="D21" s="265"/>
      <c r="E21" s="59" t="s">
        <v>90</v>
      </c>
      <c r="F21" s="271"/>
      <c r="G21" s="260"/>
      <c r="H21" s="56"/>
    </row>
    <row r="22" spans="1:9" ht="15.75" x14ac:dyDescent="0.25">
      <c r="A22" s="58" t="s">
        <v>155</v>
      </c>
      <c r="B22" s="266"/>
      <c r="C22" s="259"/>
      <c r="D22" s="265"/>
      <c r="E22" s="60" t="s">
        <v>156</v>
      </c>
      <c r="F22" s="271"/>
      <c r="G22" s="260"/>
      <c r="H22" s="56"/>
      <c r="I22" s="57"/>
    </row>
    <row r="23" spans="1:9" x14ac:dyDescent="0.25">
      <c r="A23" s="58" t="s">
        <v>157</v>
      </c>
      <c r="B23" s="266"/>
      <c r="C23" s="259"/>
      <c r="D23" s="259"/>
      <c r="E23" s="259"/>
      <c r="F23" s="259"/>
      <c r="G23" s="260"/>
      <c r="H23" s="56"/>
    </row>
    <row r="24" spans="1:9" ht="15.75" x14ac:dyDescent="0.25">
      <c r="A24" s="264"/>
      <c r="B24" s="259"/>
      <c r="C24" s="259"/>
      <c r="D24" s="259"/>
      <c r="E24" s="259"/>
      <c r="F24" s="259"/>
      <c r="G24" s="260"/>
      <c r="H24" s="56"/>
      <c r="I24" s="57"/>
    </row>
    <row r="25" spans="1:9" x14ac:dyDescent="0.25">
      <c r="A25" s="258" t="s">
        <v>158</v>
      </c>
      <c r="B25" s="259"/>
      <c r="C25" s="259"/>
      <c r="D25" s="259"/>
      <c r="E25" s="259"/>
      <c r="F25" s="259"/>
      <c r="G25" s="260"/>
      <c r="H25" s="56"/>
    </row>
    <row r="26" spans="1:9" ht="15.75" x14ac:dyDescent="0.25">
      <c r="A26" s="58" t="s">
        <v>158</v>
      </c>
      <c r="B26" s="266"/>
      <c r="C26" s="259"/>
      <c r="D26" s="259"/>
      <c r="E26" s="259"/>
      <c r="F26" s="259"/>
      <c r="G26" s="260"/>
      <c r="H26" s="56"/>
      <c r="I26" s="57"/>
    </row>
    <row r="27" spans="1:9" x14ac:dyDescent="0.25">
      <c r="A27" s="58" t="s">
        <v>159</v>
      </c>
      <c r="B27" s="266"/>
      <c r="C27" s="259"/>
      <c r="D27" s="265"/>
      <c r="E27" s="59" t="s">
        <v>160</v>
      </c>
      <c r="F27" s="266"/>
      <c r="G27" s="260"/>
      <c r="H27" s="56"/>
    </row>
    <row r="28" spans="1:9" ht="15.75" x14ac:dyDescent="0.25">
      <c r="A28" s="58" t="s">
        <v>161</v>
      </c>
      <c r="B28" s="266"/>
      <c r="C28" s="259"/>
      <c r="D28" s="265"/>
      <c r="E28" s="59" t="s">
        <v>162</v>
      </c>
      <c r="F28" s="59"/>
      <c r="G28" s="61"/>
      <c r="H28" s="56"/>
      <c r="I28" s="57"/>
    </row>
    <row r="29" spans="1:9" x14ac:dyDescent="0.25">
      <c r="A29" s="58" t="s">
        <v>163</v>
      </c>
      <c r="B29" s="266"/>
      <c r="C29" s="259"/>
      <c r="D29" s="259"/>
      <c r="E29" s="259"/>
      <c r="F29" s="259"/>
      <c r="G29" s="260"/>
      <c r="H29" s="56"/>
    </row>
    <row r="30" spans="1:9" ht="15.75" x14ac:dyDescent="0.25">
      <c r="A30" s="264"/>
      <c r="B30" s="259"/>
      <c r="C30" s="259"/>
      <c r="D30" s="259"/>
      <c r="E30" s="259"/>
      <c r="F30" s="259"/>
      <c r="G30" s="260"/>
      <c r="H30" s="56"/>
      <c r="I30" s="57"/>
    </row>
    <row r="31" spans="1:9" x14ac:dyDescent="0.25">
      <c r="A31" s="258" t="s">
        <v>164</v>
      </c>
      <c r="B31" s="259"/>
      <c r="C31" s="259"/>
      <c r="D31" s="259"/>
      <c r="E31" s="259"/>
      <c r="F31" s="259"/>
      <c r="G31" s="260"/>
      <c r="H31" s="56"/>
    </row>
    <row r="32" spans="1:9" ht="15.75" x14ac:dyDescent="0.25">
      <c r="A32" s="58" t="s">
        <v>164</v>
      </c>
      <c r="B32" s="266"/>
      <c r="C32" s="259"/>
      <c r="D32" s="259"/>
      <c r="E32" s="259"/>
      <c r="F32" s="259"/>
      <c r="G32" s="260"/>
      <c r="H32" s="56"/>
      <c r="I32" s="57"/>
    </row>
    <row r="33" spans="1:9" x14ac:dyDescent="0.25">
      <c r="A33" s="58" t="s">
        <v>164</v>
      </c>
      <c r="B33" s="266"/>
      <c r="C33" s="259"/>
      <c r="D33" s="259"/>
      <c r="E33" s="259"/>
      <c r="F33" s="259"/>
      <c r="G33" s="260"/>
      <c r="H33" s="56"/>
    </row>
    <row r="34" spans="1:9" ht="15.75" x14ac:dyDescent="0.25">
      <c r="A34" s="58" t="s">
        <v>164</v>
      </c>
      <c r="B34" s="266"/>
      <c r="C34" s="259"/>
      <c r="D34" s="259"/>
      <c r="E34" s="259"/>
      <c r="F34" s="259"/>
      <c r="G34" s="260"/>
      <c r="H34" s="56"/>
      <c r="I34" s="57"/>
    </row>
    <row r="35" spans="1:9" x14ac:dyDescent="0.25">
      <c r="A35" s="58" t="s">
        <v>165</v>
      </c>
      <c r="B35" s="266"/>
      <c r="C35" s="259"/>
      <c r="D35" s="259"/>
      <c r="E35" s="259"/>
      <c r="F35" s="259"/>
      <c r="G35" s="260"/>
      <c r="H35" s="56"/>
    </row>
    <row r="36" spans="1:9" ht="22.5" x14ac:dyDescent="0.25">
      <c r="A36" s="62" t="s">
        <v>166</v>
      </c>
      <c r="B36" s="266"/>
      <c r="C36" s="259"/>
      <c r="D36" s="259"/>
      <c r="E36" s="259"/>
      <c r="F36" s="259"/>
      <c r="G36" s="260"/>
      <c r="H36" s="56"/>
    </row>
    <row r="37" spans="1:9" ht="15.75" x14ac:dyDescent="0.25">
      <c r="A37" s="264"/>
      <c r="B37" s="259"/>
      <c r="C37" s="259"/>
      <c r="D37" s="259"/>
      <c r="E37" s="259"/>
      <c r="F37" s="259"/>
      <c r="G37" s="260"/>
      <c r="H37" s="56"/>
      <c r="I37" s="57"/>
    </row>
    <row r="38" spans="1:9" ht="15.75" x14ac:dyDescent="0.25">
      <c r="A38" s="258" t="s">
        <v>167</v>
      </c>
      <c r="B38" s="259"/>
      <c r="C38" s="259"/>
      <c r="D38" s="259"/>
      <c r="E38" s="259"/>
      <c r="F38" s="259"/>
      <c r="G38" s="260"/>
      <c r="H38" s="56"/>
      <c r="I38" s="57"/>
    </row>
    <row r="39" spans="1:9" x14ac:dyDescent="0.25">
      <c r="A39" s="58" t="s">
        <v>168</v>
      </c>
      <c r="B39" s="266"/>
      <c r="C39" s="259"/>
      <c r="D39" s="259"/>
      <c r="E39" s="259"/>
      <c r="F39" s="259"/>
      <c r="G39" s="260"/>
      <c r="H39" s="56"/>
    </row>
    <row r="40" spans="1:9" ht="15.75" x14ac:dyDescent="0.25">
      <c r="A40" s="58" t="s">
        <v>169</v>
      </c>
      <c r="B40" s="266"/>
      <c r="C40" s="259"/>
      <c r="D40" s="259"/>
      <c r="E40" s="259"/>
      <c r="F40" s="259"/>
      <c r="G40" s="260"/>
      <c r="H40" s="56"/>
      <c r="I40" s="57"/>
    </row>
    <row r="41" spans="1:9" x14ac:dyDescent="0.25">
      <c r="A41" s="58" t="s">
        <v>170</v>
      </c>
      <c r="B41" s="266"/>
      <c r="C41" s="259"/>
      <c r="D41" s="265"/>
      <c r="E41" s="59" t="s">
        <v>171</v>
      </c>
      <c r="F41" s="266"/>
      <c r="G41" s="260"/>
      <c r="H41" s="56"/>
    </row>
    <row r="42" spans="1:9" ht="15.75" x14ac:dyDescent="0.25">
      <c r="A42" s="264"/>
      <c r="B42" s="259"/>
      <c r="C42" s="259"/>
      <c r="D42" s="259"/>
      <c r="E42" s="259"/>
      <c r="F42" s="259"/>
      <c r="G42" s="260"/>
      <c r="H42" s="56"/>
      <c r="I42" s="57"/>
    </row>
    <row r="43" spans="1:9" x14ac:dyDescent="0.25">
      <c r="A43" s="276" t="s">
        <v>172</v>
      </c>
      <c r="B43" s="259"/>
      <c r="C43" s="259"/>
      <c r="D43" s="259"/>
      <c r="E43" s="259"/>
      <c r="F43" s="259"/>
      <c r="G43" s="260"/>
      <c r="H43" s="56"/>
    </row>
    <row r="44" spans="1:9" ht="15.75" x14ac:dyDescent="0.25">
      <c r="A44" s="58" t="s">
        <v>173</v>
      </c>
      <c r="B44" s="266"/>
      <c r="C44" s="259"/>
      <c r="D44" s="265"/>
      <c r="E44" s="59" t="s">
        <v>174</v>
      </c>
      <c r="F44" s="266"/>
      <c r="G44" s="260"/>
      <c r="H44" s="56"/>
      <c r="I44" s="57"/>
    </row>
    <row r="45" spans="1:9" x14ac:dyDescent="0.25">
      <c r="A45" s="58" t="s">
        <v>175</v>
      </c>
      <c r="B45" s="266"/>
      <c r="C45" s="259"/>
      <c r="D45" s="259"/>
      <c r="E45" s="259"/>
      <c r="F45" s="259"/>
      <c r="G45" s="260"/>
      <c r="H45" s="56"/>
    </row>
    <row r="46" spans="1:9" ht="15.75" x14ac:dyDescent="0.25">
      <c r="A46" s="264"/>
      <c r="B46" s="259"/>
      <c r="C46" s="259"/>
      <c r="D46" s="259"/>
      <c r="E46" s="259"/>
      <c r="F46" s="259"/>
      <c r="G46" s="260"/>
      <c r="H46" s="56"/>
      <c r="I46" s="57"/>
    </row>
    <row r="47" spans="1:9" x14ac:dyDescent="0.25">
      <c r="A47" s="258" t="s">
        <v>176</v>
      </c>
      <c r="B47" s="259"/>
      <c r="C47" s="259"/>
      <c r="D47" s="259"/>
      <c r="E47" s="259"/>
      <c r="F47" s="259"/>
      <c r="G47" s="260"/>
      <c r="H47" s="56"/>
    </row>
    <row r="48" spans="1:9" ht="15.75" x14ac:dyDescent="0.25">
      <c r="A48" s="264" t="s">
        <v>177</v>
      </c>
      <c r="B48" s="265"/>
      <c r="C48" s="266"/>
      <c r="D48" s="259"/>
      <c r="E48" s="259"/>
      <c r="F48" s="259"/>
      <c r="G48" s="260"/>
      <c r="H48" s="56"/>
      <c r="I48" s="57"/>
    </row>
    <row r="49" spans="1:9" x14ac:dyDescent="0.25">
      <c r="A49" s="264" t="s">
        <v>178</v>
      </c>
      <c r="B49" s="265"/>
      <c r="C49" s="266"/>
      <c r="D49" s="259"/>
      <c r="E49" s="259"/>
      <c r="F49" s="259"/>
      <c r="G49" s="260"/>
      <c r="H49" s="56"/>
    </row>
    <row r="50" spans="1:9" ht="15.75" x14ac:dyDescent="0.25">
      <c r="A50" s="264" t="s">
        <v>179</v>
      </c>
      <c r="B50" s="265"/>
      <c r="C50" s="266"/>
      <c r="D50" s="259"/>
      <c r="E50" s="259"/>
      <c r="F50" s="259"/>
      <c r="G50" s="260"/>
      <c r="H50" s="56"/>
      <c r="I50" s="57"/>
    </row>
    <row r="51" spans="1:9" x14ac:dyDescent="0.25">
      <c r="A51" s="269" t="s">
        <v>180</v>
      </c>
      <c r="B51" s="259"/>
      <c r="C51" s="259"/>
      <c r="D51" s="259"/>
      <c r="E51" s="265"/>
      <c r="F51" s="266"/>
      <c r="G51" s="260"/>
      <c r="H51" s="56"/>
    </row>
    <row r="52" spans="1:9" ht="22.5" x14ac:dyDescent="0.25">
      <c r="A52" s="58" t="s">
        <v>181</v>
      </c>
      <c r="B52" s="266"/>
      <c r="C52" s="259"/>
      <c r="D52" s="265"/>
      <c r="E52" s="141" t="s">
        <v>182</v>
      </c>
      <c r="F52" s="266"/>
      <c r="G52" s="260"/>
      <c r="H52" s="56"/>
      <c r="I52" s="57"/>
    </row>
    <row r="53" spans="1:9" ht="15.75" x14ac:dyDescent="0.25">
      <c r="A53" s="270"/>
      <c r="B53" s="259"/>
      <c r="C53" s="259"/>
      <c r="D53" s="259"/>
      <c r="E53" s="259"/>
      <c r="F53" s="259"/>
      <c r="G53" s="260"/>
      <c r="H53" s="56"/>
      <c r="I53" s="57"/>
    </row>
    <row r="54" spans="1:9" ht="15.75" x14ac:dyDescent="0.25">
      <c r="A54" s="258" t="s">
        <v>183</v>
      </c>
      <c r="B54" s="259"/>
      <c r="C54" s="259"/>
      <c r="D54" s="259"/>
      <c r="E54" s="259"/>
      <c r="F54" s="259"/>
      <c r="G54" s="260"/>
      <c r="H54" s="56"/>
      <c r="I54" s="57"/>
    </row>
    <row r="55" spans="1:9" x14ac:dyDescent="0.25">
      <c r="A55" s="264" t="s">
        <v>184</v>
      </c>
      <c r="B55" s="259"/>
      <c r="C55" s="259"/>
      <c r="D55" s="259"/>
      <c r="E55" s="265"/>
      <c r="F55" s="266"/>
      <c r="G55" s="260"/>
      <c r="H55" s="56"/>
    </row>
    <row r="56" spans="1:9" ht="15.75" x14ac:dyDescent="0.25">
      <c r="A56" s="258" t="s">
        <v>185</v>
      </c>
      <c r="B56" s="259"/>
      <c r="C56" s="259"/>
      <c r="D56" s="259"/>
      <c r="E56" s="259"/>
      <c r="F56" s="259"/>
      <c r="G56" s="260"/>
      <c r="H56" s="56"/>
      <c r="I56" s="57"/>
    </row>
    <row r="57" spans="1:9" ht="22.5" x14ac:dyDescent="0.25">
      <c r="A57" s="62" t="s">
        <v>186</v>
      </c>
      <c r="B57" s="266"/>
      <c r="C57" s="259"/>
      <c r="D57" s="265"/>
      <c r="E57" s="59" t="s">
        <v>187</v>
      </c>
      <c r="F57" s="266"/>
      <c r="G57" s="260"/>
      <c r="H57" s="56"/>
    </row>
    <row r="58" spans="1:9" x14ac:dyDescent="0.25">
      <c r="A58" s="264"/>
      <c r="B58" s="259"/>
      <c r="C58" s="259"/>
      <c r="D58" s="259"/>
      <c r="E58" s="259"/>
      <c r="F58" s="259"/>
      <c r="G58" s="260"/>
      <c r="H58" s="56"/>
    </row>
    <row r="59" spans="1:9" x14ac:dyDescent="0.25">
      <c r="A59" s="258" t="s">
        <v>188</v>
      </c>
      <c r="B59" s="259"/>
      <c r="C59" s="259"/>
      <c r="D59" s="259"/>
      <c r="E59" s="259"/>
      <c r="F59" s="259"/>
      <c r="G59" s="260"/>
      <c r="H59" s="56"/>
    </row>
    <row r="60" spans="1:9" ht="22.5" x14ac:dyDescent="0.25">
      <c r="A60" s="58" t="s">
        <v>187</v>
      </c>
      <c r="B60" s="266"/>
      <c r="C60" s="259"/>
      <c r="D60" s="265"/>
      <c r="E60" s="141" t="s">
        <v>189</v>
      </c>
      <c r="F60" s="266"/>
      <c r="G60" s="260"/>
      <c r="H60" s="56"/>
      <c r="I60" s="57"/>
    </row>
    <row r="61" spans="1:9" x14ac:dyDescent="0.25">
      <c r="A61" s="58" t="s">
        <v>190</v>
      </c>
      <c r="B61" s="266"/>
      <c r="C61" s="259"/>
      <c r="D61" s="265"/>
      <c r="E61" s="277" t="s">
        <v>191</v>
      </c>
      <c r="F61" s="265"/>
      <c r="G61" s="61"/>
      <c r="H61" s="56"/>
    </row>
    <row r="62" spans="1:9" ht="15.75" x14ac:dyDescent="0.25">
      <c r="A62" s="264"/>
      <c r="B62" s="259"/>
      <c r="C62" s="259"/>
      <c r="D62" s="259"/>
      <c r="E62" s="259"/>
      <c r="F62" s="259"/>
      <c r="G62" s="260"/>
      <c r="H62" s="56"/>
      <c r="I62" s="57"/>
    </row>
    <row r="63" spans="1:9" x14ac:dyDescent="0.25">
      <c r="A63" s="258" t="s">
        <v>192</v>
      </c>
      <c r="B63" s="259"/>
      <c r="C63" s="259"/>
      <c r="D63" s="259"/>
      <c r="E63" s="259"/>
      <c r="F63" s="259"/>
      <c r="G63" s="260"/>
      <c r="H63" s="56"/>
    </row>
    <row r="64" spans="1:9" ht="15.75" x14ac:dyDescent="0.25">
      <c r="A64" s="264" t="s">
        <v>193</v>
      </c>
      <c r="B64" s="265"/>
      <c r="C64" s="266"/>
      <c r="D64" s="259"/>
      <c r="E64" s="265"/>
      <c r="F64" s="266"/>
      <c r="G64" s="260"/>
      <c r="H64" s="56"/>
      <c r="I64" s="57"/>
    </row>
    <row r="65" spans="1:9" x14ac:dyDescent="0.25">
      <c r="A65" s="264" t="s">
        <v>194</v>
      </c>
      <c r="B65" s="265"/>
      <c r="C65" s="266"/>
      <c r="D65" s="259"/>
      <c r="E65" s="265"/>
      <c r="F65" s="266"/>
      <c r="G65" s="260"/>
      <c r="H65" s="56"/>
    </row>
    <row r="66" spans="1:9" x14ac:dyDescent="0.25">
      <c r="A66" s="270"/>
      <c r="B66" s="259"/>
      <c r="C66" s="259"/>
      <c r="D66" s="259"/>
      <c r="E66" s="259"/>
      <c r="F66" s="259"/>
      <c r="G66" s="260"/>
      <c r="H66" s="56"/>
    </row>
    <row r="67" spans="1:9" x14ac:dyDescent="0.25">
      <c r="A67" s="258" t="s">
        <v>195</v>
      </c>
      <c r="B67" s="259"/>
      <c r="C67" s="259"/>
      <c r="D67" s="259"/>
      <c r="E67" s="259"/>
      <c r="F67" s="259"/>
      <c r="G67" s="260"/>
      <c r="H67" s="56"/>
    </row>
    <row r="68" spans="1:9" ht="33.75" x14ac:dyDescent="0.25">
      <c r="A68" s="269" t="s">
        <v>196</v>
      </c>
      <c r="B68" s="265"/>
      <c r="C68" s="268"/>
      <c r="D68" s="265"/>
      <c r="E68" s="63" t="s">
        <v>197</v>
      </c>
      <c r="F68" s="267"/>
      <c r="G68" s="260"/>
      <c r="H68" s="56"/>
    </row>
    <row r="69" spans="1:9" ht="33.75" x14ac:dyDescent="0.25">
      <c r="A69" s="264" t="s">
        <v>198</v>
      </c>
      <c r="B69" s="265"/>
      <c r="C69" s="268"/>
      <c r="D69" s="265"/>
      <c r="E69" s="63" t="s">
        <v>197</v>
      </c>
      <c r="F69" s="267"/>
      <c r="G69" s="260"/>
      <c r="H69" s="56"/>
      <c r="I69" s="64"/>
    </row>
    <row r="70" spans="1:9" ht="33.75" x14ac:dyDescent="0.25">
      <c r="A70" s="264" t="s">
        <v>199</v>
      </c>
      <c r="B70" s="265"/>
      <c r="C70" s="268"/>
      <c r="D70" s="265"/>
      <c r="E70" s="63" t="s">
        <v>197</v>
      </c>
      <c r="F70" s="267"/>
      <c r="G70" s="260"/>
      <c r="H70" s="56"/>
    </row>
    <row r="71" spans="1:9" ht="33.75" x14ac:dyDescent="0.25">
      <c r="A71" s="264" t="s">
        <v>200</v>
      </c>
      <c r="B71" s="265"/>
      <c r="C71" s="268"/>
      <c r="D71" s="265"/>
      <c r="E71" s="63" t="s">
        <v>197</v>
      </c>
      <c r="F71" s="267"/>
      <c r="G71" s="260"/>
      <c r="H71" s="56"/>
    </row>
    <row r="72" spans="1:9" ht="33.75" x14ac:dyDescent="0.25">
      <c r="A72" s="264" t="s">
        <v>201</v>
      </c>
      <c r="B72" s="265"/>
      <c r="C72" s="268"/>
      <c r="D72" s="265"/>
      <c r="E72" s="63" t="s">
        <v>197</v>
      </c>
      <c r="F72" s="267"/>
      <c r="G72" s="260"/>
      <c r="H72" s="56"/>
    </row>
    <row r="73" spans="1:9" ht="33.75" x14ac:dyDescent="0.25">
      <c r="A73" s="269" t="s">
        <v>202</v>
      </c>
      <c r="B73" s="265"/>
      <c r="C73" s="268"/>
      <c r="D73" s="265"/>
      <c r="E73" s="63" t="s">
        <v>197</v>
      </c>
      <c r="F73" s="267"/>
      <c r="G73" s="260"/>
      <c r="H73" s="56"/>
    </row>
    <row r="74" spans="1:9" ht="33.75" x14ac:dyDescent="0.25">
      <c r="A74" s="264" t="s">
        <v>203</v>
      </c>
      <c r="B74" s="265"/>
      <c r="C74" s="268"/>
      <c r="D74" s="265"/>
      <c r="E74" s="63" t="s">
        <v>197</v>
      </c>
      <c r="F74" s="267"/>
      <c r="G74" s="260"/>
      <c r="H74" s="56"/>
    </row>
    <row r="75" spans="1:9" ht="33.75" x14ac:dyDescent="0.25">
      <c r="A75" s="264" t="s">
        <v>204</v>
      </c>
      <c r="B75" s="265"/>
      <c r="C75" s="268"/>
      <c r="D75" s="265"/>
      <c r="E75" s="63" t="s">
        <v>197</v>
      </c>
      <c r="F75" s="267"/>
      <c r="G75" s="260"/>
      <c r="H75" s="56"/>
    </row>
    <row r="76" spans="1:9" ht="33.75" x14ac:dyDescent="0.25">
      <c r="A76" s="264" t="s">
        <v>205</v>
      </c>
      <c r="B76" s="265"/>
      <c r="C76" s="268"/>
      <c r="D76" s="265"/>
      <c r="E76" s="63" t="s">
        <v>197</v>
      </c>
      <c r="F76" s="267"/>
      <c r="G76" s="260"/>
      <c r="H76" s="56"/>
    </row>
    <row r="77" spans="1:9" ht="33.75" x14ac:dyDescent="0.25">
      <c r="A77" s="269" t="s">
        <v>206</v>
      </c>
      <c r="B77" s="265"/>
      <c r="C77" s="268"/>
      <c r="D77" s="265"/>
      <c r="E77" s="63" t="s">
        <v>197</v>
      </c>
      <c r="F77" s="267"/>
      <c r="G77" s="260"/>
      <c r="H77" s="56"/>
    </row>
    <row r="78" spans="1:9" ht="33.75" x14ac:dyDescent="0.25">
      <c r="A78" s="269" t="s">
        <v>207</v>
      </c>
      <c r="B78" s="265"/>
      <c r="C78" s="268"/>
      <c r="D78" s="265"/>
      <c r="E78" s="63" t="s">
        <v>197</v>
      </c>
      <c r="F78" s="267"/>
      <c r="G78" s="260"/>
      <c r="H78" s="56"/>
    </row>
    <row r="79" spans="1:9" x14ac:dyDescent="0.25">
      <c r="A79" s="264" t="s">
        <v>208</v>
      </c>
      <c r="B79" s="259"/>
      <c r="C79" s="259"/>
      <c r="D79" s="259"/>
      <c r="E79" s="259"/>
      <c r="F79" s="259"/>
      <c r="G79" s="260"/>
      <c r="H79" s="56"/>
    </row>
    <row r="80" spans="1:9" x14ac:dyDescent="0.25">
      <c r="A80" s="264" t="s">
        <v>209</v>
      </c>
      <c r="B80" s="265"/>
      <c r="C80" s="266"/>
      <c r="D80" s="259"/>
      <c r="E80" s="259"/>
      <c r="F80" s="259"/>
      <c r="G80" s="260"/>
      <c r="H80" s="56"/>
    </row>
    <row r="81" spans="1:9" x14ac:dyDescent="0.25">
      <c r="A81" s="264" t="s">
        <v>210</v>
      </c>
      <c r="B81" s="265"/>
      <c r="C81" s="266"/>
      <c r="D81" s="259"/>
      <c r="E81" s="259"/>
      <c r="F81" s="259"/>
      <c r="G81" s="260"/>
      <c r="H81" s="56"/>
    </row>
    <row r="82" spans="1:9" x14ac:dyDescent="0.25">
      <c r="A82" s="264" t="s">
        <v>41</v>
      </c>
      <c r="B82" s="265"/>
      <c r="C82" s="266"/>
      <c r="D82" s="259"/>
      <c r="E82" s="259"/>
      <c r="F82" s="259"/>
      <c r="G82" s="260"/>
      <c r="H82" s="56"/>
    </row>
    <row r="83" spans="1:9" x14ac:dyDescent="0.25">
      <c r="A83" s="256" t="s">
        <v>211</v>
      </c>
      <c r="B83" s="257"/>
      <c r="C83" s="261"/>
      <c r="D83" s="262"/>
      <c r="E83" s="262"/>
      <c r="F83" s="262"/>
      <c r="G83" s="263"/>
      <c r="H83" s="56"/>
    </row>
    <row r="84" spans="1:9" x14ac:dyDescent="0.25">
      <c r="A84" s="256"/>
      <c r="B84" s="257"/>
      <c r="C84" s="261"/>
      <c r="D84" s="262"/>
      <c r="E84" s="262"/>
      <c r="F84" s="262"/>
      <c r="G84" s="263"/>
      <c r="H84" s="56"/>
    </row>
    <row r="85" spans="1:9" x14ac:dyDescent="0.25">
      <c r="A85" s="65"/>
      <c r="B85" s="65"/>
      <c r="C85" s="65"/>
      <c r="D85" s="65"/>
      <c r="E85" s="65"/>
      <c r="F85" s="65"/>
      <c r="G85" s="65"/>
      <c r="H85" s="56"/>
    </row>
    <row r="86" spans="1:9" ht="15.75" x14ac:dyDescent="0.25">
      <c r="A86" s="65"/>
      <c r="B86" s="65"/>
      <c r="C86" s="65"/>
      <c r="D86" s="65"/>
      <c r="E86" s="65"/>
      <c r="F86" s="65"/>
      <c r="G86" s="65"/>
      <c r="H86" s="56"/>
      <c r="I86" s="64"/>
    </row>
    <row r="87" spans="1:9" x14ac:dyDescent="0.25">
      <c r="A87" s="65"/>
      <c r="B87" s="65"/>
      <c r="C87" s="65"/>
      <c r="D87" s="65"/>
      <c r="E87" s="65"/>
      <c r="F87" s="65"/>
      <c r="G87" s="65"/>
      <c r="H87" s="56"/>
    </row>
    <row r="88" spans="1:9" x14ac:dyDescent="0.25">
      <c r="A88" s="65"/>
      <c r="B88" s="65"/>
      <c r="C88" s="65"/>
      <c r="D88" s="65"/>
      <c r="E88" s="65"/>
      <c r="F88" s="65"/>
      <c r="G88" s="65"/>
      <c r="H88" s="56"/>
    </row>
    <row r="89" spans="1:9" x14ac:dyDescent="0.25">
      <c r="A89" s="65"/>
      <c r="B89" s="65"/>
      <c r="C89" s="65"/>
      <c r="D89" s="65"/>
      <c r="E89" s="65"/>
      <c r="F89" s="65"/>
      <c r="G89" s="65"/>
      <c r="H89" s="56"/>
    </row>
    <row r="90" spans="1:9" x14ac:dyDescent="0.25">
      <c r="A90" s="65"/>
      <c r="B90" s="65"/>
      <c r="C90" s="65"/>
      <c r="D90" s="65"/>
      <c r="E90" s="65"/>
      <c r="F90" s="65"/>
      <c r="G90" s="65"/>
      <c r="H90" s="56"/>
    </row>
    <row r="91" spans="1:9" x14ac:dyDescent="0.25">
      <c r="A91" s="65"/>
      <c r="B91" s="65"/>
      <c r="C91" s="65"/>
      <c r="D91" s="65"/>
      <c r="E91" s="65"/>
      <c r="F91" s="65"/>
      <c r="G91" s="65"/>
      <c r="H91" s="56"/>
    </row>
    <row r="92" spans="1:9" x14ac:dyDescent="0.25">
      <c r="A92" s="65"/>
      <c r="B92" s="65"/>
      <c r="C92" s="65"/>
      <c r="D92" s="65"/>
      <c r="E92" s="65"/>
      <c r="F92" s="65"/>
      <c r="G92" s="65"/>
      <c r="H92" s="56"/>
    </row>
    <row r="93" spans="1:9" x14ac:dyDescent="0.25">
      <c r="A93" s="65"/>
      <c r="B93" s="65"/>
      <c r="C93" s="65"/>
      <c r="D93" s="65"/>
      <c r="E93" s="65"/>
      <c r="F93" s="65"/>
      <c r="G93" s="65"/>
      <c r="H93" s="56"/>
    </row>
    <row r="94" spans="1:9" x14ac:dyDescent="0.25">
      <c r="A94" s="65"/>
      <c r="B94" s="65"/>
      <c r="C94" s="65"/>
      <c r="D94" s="65"/>
      <c r="E94" s="65"/>
      <c r="F94" s="65"/>
      <c r="G94" s="65"/>
      <c r="H94" s="56"/>
    </row>
    <row r="95" spans="1:9" x14ac:dyDescent="0.25">
      <c r="A95" s="65"/>
      <c r="B95" s="65"/>
      <c r="C95" s="65"/>
      <c r="D95" s="65"/>
      <c r="E95" s="65"/>
      <c r="F95" s="65"/>
      <c r="G95" s="65"/>
      <c r="H95" s="56"/>
    </row>
    <row r="96" spans="1:9" x14ac:dyDescent="0.25">
      <c r="A96" s="65"/>
      <c r="B96" s="65"/>
      <c r="C96" s="65"/>
      <c r="D96" s="65"/>
      <c r="E96" s="65"/>
      <c r="F96" s="65"/>
      <c r="G96" s="65"/>
      <c r="H96" s="56"/>
    </row>
    <row r="97" spans="1:8" x14ac:dyDescent="0.25">
      <c r="A97" s="65"/>
      <c r="B97" s="65"/>
      <c r="C97" s="65"/>
      <c r="D97" s="65"/>
      <c r="E97" s="65"/>
      <c r="F97" s="65"/>
      <c r="G97" s="65"/>
      <c r="H97" s="56"/>
    </row>
    <row r="98" spans="1:8" x14ac:dyDescent="0.25">
      <c r="A98" s="65"/>
      <c r="B98" s="65"/>
      <c r="C98" s="65"/>
      <c r="D98" s="65"/>
      <c r="E98" s="65"/>
      <c r="F98" s="65"/>
      <c r="G98" s="65"/>
      <c r="H98" s="56"/>
    </row>
    <row r="99" spans="1:8" x14ac:dyDescent="0.25">
      <c r="A99" s="65"/>
      <c r="B99" s="65"/>
      <c r="C99" s="65"/>
      <c r="D99" s="65"/>
      <c r="E99" s="65"/>
      <c r="F99" s="65"/>
      <c r="G99" s="65"/>
      <c r="H99" s="56"/>
    </row>
    <row r="100" spans="1:8" x14ac:dyDescent="0.25">
      <c r="A100" s="65"/>
      <c r="B100" s="65"/>
      <c r="C100" s="65"/>
      <c r="D100" s="65"/>
      <c r="E100" s="65"/>
      <c r="F100" s="65"/>
      <c r="G100" s="65"/>
      <c r="H100" s="56"/>
    </row>
  </sheetData>
  <mergeCells count="135">
    <mergeCell ref="A56:G56"/>
    <mergeCell ref="B57:D57"/>
    <mergeCell ref="F57:G57"/>
    <mergeCell ref="A58:G58"/>
    <mergeCell ref="B60:D60"/>
    <mergeCell ref="F60:G60"/>
    <mergeCell ref="E61:F61"/>
    <mergeCell ref="A62:G62"/>
    <mergeCell ref="A64:B64"/>
    <mergeCell ref="C64:E64"/>
    <mergeCell ref="F64:G64"/>
    <mergeCell ref="B61:D61"/>
    <mergeCell ref="A63:G63"/>
    <mergeCell ref="A59:G59"/>
    <mergeCell ref="A51:E51"/>
    <mergeCell ref="F51:G51"/>
    <mergeCell ref="B52:D52"/>
    <mergeCell ref="A53:G53"/>
    <mergeCell ref="A55:E55"/>
    <mergeCell ref="F55:G55"/>
    <mergeCell ref="A47:G47"/>
    <mergeCell ref="A49:B49"/>
    <mergeCell ref="C49:G49"/>
    <mergeCell ref="A50:B50"/>
    <mergeCell ref="C50:G50"/>
    <mergeCell ref="F52:G52"/>
    <mergeCell ref="B35:G35"/>
    <mergeCell ref="B36:G36"/>
    <mergeCell ref="A38:G38"/>
    <mergeCell ref="B40:G40"/>
    <mergeCell ref="A43:G43"/>
    <mergeCell ref="B45:G45"/>
    <mergeCell ref="A46:G46"/>
    <mergeCell ref="A48:B48"/>
    <mergeCell ref="C48:G48"/>
    <mergeCell ref="F6:G6"/>
    <mergeCell ref="F7:G7"/>
    <mergeCell ref="A1:G1"/>
    <mergeCell ref="A2:G2"/>
    <mergeCell ref="A3:G3"/>
    <mergeCell ref="A4:G4"/>
    <mergeCell ref="B6:D6"/>
    <mergeCell ref="B7:D7"/>
    <mergeCell ref="B5:D5"/>
    <mergeCell ref="F5:G5"/>
    <mergeCell ref="B8:D8"/>
    <mergeCell ref="F8:G8"/>
    <mergeCell ref="A10:G10"/>
    <mergeCell ref="A9:G9"/>
    <mergeCell ref="B11:D11"/>
    <mergeCell ref="F11:G11"/>
    <mergeCell ref="B12:G12"/>
    <mergeCell ref="A13:G13"/>
    <mergeCell ref="A14:G14"/>
    <mergeCell ref="B17:G17"/>
    <mergeCell ref="B18:G18"/>
    <mergeCell ref="A20:G20"/>
    <mergeCell ref="B15:D15"/>
    <mergeCell ref="F15:G15"/>
    <mergeCell ref="B16:G16"/>
    <mergeCell ref="A19:G19"/>
    <mergeCell ref="B21:D21"/>
    <mergeCell ref="F21:G21"/>
    <mergeCell ref="C69:D69"/>
    <mergeCell ref="F69:G69"/>
    <mergeCell ref="B22:D22"/>
    <mergeCell ref="F22:G22"/>
    <mergeCell ref="A25:G25"/>
    <mergeCell ref="B28:D28"/>
    <mergeCell ref="B23:G23"/>
    <mergeCell ref="A24:G24"/>
    <mergeCell ref="B26:G26"/>
    <mergeCell ref="B27:D27"/>
    <mergeCell ref="F27:G27"/>
    <mergeCell ref="B29:G29"/>
    <mergeCell ref="A30:G30"/>
    <mergeCell ref="B32:G32"/>
    <mergeCell ref="A37:G37"/>
    <mergeCell ref="B39:G39"/>
    <mergeCell ref="B41:D41"/>
    <mergeCell ref="F41:G41"/>
    <mergeCell ref="A42:G42"/>
    <mergeCell ref="B44:D44"/>
    <mergeCell ref="F44:G44"/>
    <mergeCell ref="A31:G31"/>
    <mergeCell ref="B33:G33"/>
    <mergeCell ref="B34:G34"/>
    <mergeCell ref="C73:D73"/>
    <mergeCell ref="F73:G73"/>
    <mergeCell ref="A74:B74"/>
    <mergeCell ref="C74:D74"/>
    <mergeCell ref="A75:B75"/>
    <mergeCell ref="C75:D75"/>
    <mergeCell ref="C65:E65"/>
    <mergeCell ref="F65:G65"/>
    <mergeCell ref="A65:B65"/>
    <mergeCell ref="A67:G67"/>
    <mergeCell ref="A66:G66"/>
    <mergeCell ref="A69:B69"/>
    <mergeCell ref="F71:G71"/>
    <mergeCell ref="F72:G72"/>
    <mergeCell ref="A70:B70"/>
    <mergeCell ref="C70:D70"/>
    <mergeCell ref="F70:G70"/>
    <mergeCell ref="A71:B71"/>
    <mergeCell ref="C71:D71"/>
    <mergeCell ref="A72:B72"/>
    <mergeCell ref="C72:D72"/>
    <mergeCell ref="A68:B68"/>
    <mergeCell ref="C68:D68"/>
    <mergeCell ref="F68:G68"/>
    <mergeCell ref="A83:B83"/>
    <mergeCell ref="A84:B84"/>
    <mergeCell ref="A54:G54"/>
    <mergeCell ref="C83:G83"/>
    <mergeCell ref="C84:G84"/>
    <mergeCell ref="A81:B81"/>
    <mergeCell ref="C81:G81"/>
    <mergeCell ref="C82:G82"/>
    <mergeCell ref="F77:G77"/>
    <mergeCell ref="F78:G78"/>
    <mergeCell ref="A76:B76"/>
    <mergeCell ref="C76:D76"/>
    <mergeCell ref="F76:G76"/>
    <mergeCell ref="A77:B77"/>
    <mergeCell ref="C77:D77"/>
    <mergeCell ref="A78:B78"/>
    <mergeCell ref="C78:D78"/>
    <mergeCell ref="A79:G79"/>
    <mergeCell ref="A80:B80"/>
    <mergeCell ref="C80:G80"/>
    <mergeCell ref="A82:B82"/>
    <mergeCell ref="F74:G74"/>
    <mergeCell ref="F75:G75"/>
    <mergeCell ref="A73:B73"/>
  </mergeCells>
  <pageMargins left="0.7" right="0.7" top="0.75" bottom="0.75" header="0" footer="0"/>
  <pageSetup paperSize="9" orientation="portrait"/>
  <headerFooter>
    <oddHeader>&amp;C&amp;F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09EE2-797B-4984-BB97-C92A849BD76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0"/>
  <sheetViews>
    <sheetView showGridLines="0" workbookViewId="0">
      <selection activeCell="Q20" sqref="Q20"/>
    </sheetView>
  </sheetViews>
  <sheetFormatPr defaultColWidth="14.42578125" defaultRowHeight="15" customHeight="1" x14ac:dyDescent="0.25"/>
  <cols>
    <col min="1" max="1" width="27.28515625" bestFit="1" customWidth="1"/>
    <col min="2" max="2" width="9.42578125" customWidth="1"/>
    <col min="3" max="9" width="9.140625" customWidth="1"/>
    <col min="10" max="10" width="10.140625" customWidth="1"/>
    <col min="11" max="11" width="12.85546875" style="5" bestFit="1" customWidth="1"/>
    <col min="12" max="12" width="30.42578125" customWidth="1"/>
    <col min="13" max="13" width="14" customWidth="1"/>
  </cols>
  <sheetData>
    <row r="1" spans="1:14" x14ac:dyDescent="0.25">
      <c r="A1" s="137" t="s">
        <v>74</v>
      </c>
      <c r="B1" s="101"/>
      <c r="C1" s="1"/>
      <c r="D1" s="1"/>
      <c r="E1" s="1"/>
      <c r="F1" s="1"/>
      <c r="G1" s="1"/>
      <c r="H1" s="2"/>
    </row>
    <row r="2" spans="1:14" x14ac:dyDescent="0.25">
      <c r="A2" s="138" t="s">
        <v>75</v>
      </c>
      <c r="B2" s="91"/>
      <c r="C2" s="77"/>
      <c r="D2" s="77"/>
      <c r="E2" s="77"/>
      <c r="F2" s="77"/>
      <c r="G2" s="77"/>
      <c r="H2" s="78"/>
    </row>
    <row r="3" spans="1:14" ht="31.5" customHeight="1" x14ac:dyDescent="0.25">
      <c r="A3" s="139" t="s">
        <v>76</v>
      </c>
      <c r="B3" s="170">
        <f>G3*C4+G4</f>
        <v>40</v>
      </c>
      <c r="C3" s="171"/>
      <c r="D3" s="172" t="s">
        <v>77</v>
      </c>
      <c r="E3" s="173"/>
      <c r="F3" s="171"/>
      <c r="G3" s="170">
        <v>8</v>
      </c>
      <c r="H3" s="174"/>
    </row>
    <row r="4" spans="1:14" ht="15" customHeight="1" thickBot="1" x14ac:dyDescent="0.3">
      <c r="A4" s="175" t="s">
        <v>79</v>
      </c>
      <c r="B4" s="169"/>
      <c r="C4" s="3">
        <v>5</v>
      </c>
      <c r="D4" s="176" t="s">
        <v>78</v>
      </c>
      <c r="E4" s="177"/>
      <c r="F4" s="169"/>
      <c r="G4" s="178">
        <v>0</v>
      </c>
      <c r="H4" s="179"/>
    </row>
    <row r="5" spans="1:14" ht="15.75" thickTop="1" x14ac:dyDescent="0.25">
      <c r="A5" s="4"/>
      <c r="B5" s="4"/>
      <c r="C5" s="4"/>
      <c r="D5" s="5"/>
      <c r="E5" s="5"/>
      <c r="F5" s="5"/>
      <c r="G5" s="6"/>
      <c r="H5" s="6"/>
      <c r="N5" s="7"/>
    </row>
    <row r="6" spans="1:14" x14ac:dyDescent="0.25">
      <c r="N6" s="8"/>
    </row>
    <row r="7" spans="1:14" ht="30" x14ac:dyDescent="0.25">
      <c r="A7" s="180" t="s">
        <v>73</v>
      </c>
      <c r="B7" s="181"/>
      <c r="C7" s="181"/>
      <c r="D7" s="181"/>
      <c r="E7" s="181"/>
      <c r="F7" s="181"/>
      <c r="G7" s="181"/>
      <c r="H7" s="182"/>
      <c r="I7" s="9"/>
      <c r="K7" s="136" t="s">
        <v>70</v>
      </c>
      <c r="L7" s="136" t="s">
        <v>71</v>
      </c>
      <c r="M7" s="136" t="s">
        <v>72</v>
      </c>
      <c r="N7" s="8"/>
    </row>
    <row r="8" spans="1:14" ht="60" x14ac:dyDescent="0.3">
      <c r="A8" s="166" t="s">
        <v>42</v>
      </c>
      <c r="B8" s="167"/>
      <c r="C8" s="132" t="s">
        <v>43</v>
      </c>
      <c r="D8" s="132" t="s">
        <v>44</v>
      </c>
      <c r="E8" s="132" t="s">
        <v>45</v>
      </c>
      <c r="F8" s="132" t="s">
        <v>46</v>
      </c>
      <c r="G8" s="132" t="s">
        <v>47</v>
      </c>
      <c r="H8" s="133" t="s">
        <v>48</v>
      </c>
      <c r="I8" s="10"/>
      <c r="K8" s="108" t="s">
        <v>19</v>
      </c>
      <c r="L8" s="135" t="s">
        <v>50</v>
      </c>
      <c r="M8" s="106" t="s">
        <v>66</v>
      </c>
    </row>
    <row r="9" spans="1:14" ht="15.75" x14ac:dyDescent="0.3">
      <c r="A9" s="134" t="s">
        <v>0</v>
      </c>
      <c r="B9" s="11"/>
      <c r="C9" s="12">
        <v>160</v>
      </c>
      <c r="D9" s="12">
        <v>16</v>
      </c>
      <c r="E9" s="13">
        <f t="shared" ref="E9:E20" si="0">C9+D9</f>
        <v>176</v>
      </c>
      <c r="F9" s="12">
        <f t="shared" ref="F9:G20" si="1">C9/8</f>
        <v>20</v>
      </c>
      <c r="G9" s="12">
        <f t="shared" si="1"/>
        <v>2</v>
      </c>
      <c r="H9" s="14">
        <f t="shared" ref="H9:H20" si="2">F9+G9</f>
        <v>22</v>
      </c>
      <c r="I9" s="10"/>
      <c r="K9" s="108" t="s">
        <v>20</v>
      </c>
      <c r="L9" s="135" t="s">
        <v>51</v>
      </c>
      <c r="M9" s="106" t="s">
        <v>67</v>
      </c>
      <c r="N9" s="8"/>
    </row>
    <row r="10" spans="1:14" ht="15.75" x14ac:dyDescent="0.3">
      <c r="A10" s="134" t="s">
        <v>1</v>
      </c>
      <c r="B10" s="11"/>
      <c r="C10" s="12">
        <v>160</v>
      </c>
      <c r="D10" s="12">
        <v>0</v>
      </c>
      <c r="E10" s="13">
        <v>160</v>
      </c>
      <c r="F10" s="12">
        <f t="shared" si="1"/>
        <v>20</v>
      </c>
      <c r="G10" s="12">
        <f t="shared" si="1"/>
        <v>0</v>
      </c>
      <c r="H10" s="14">
        <f t="shared" si="2"/>
        <v>20</v>
      </c>
      <c r="I10" s="10"/>
      <c r="K10" s="108" t="s">
        <v>216</v>
      </c>
      <c r="L10" s="135" t="s">
        <v>52</v>
      </c>
      <c r="M10" s="106" t="s">
        <v>65</v>
      </c>
    </row>
    <row r="11" spans="1:14" ht="15.75" x14ac:dyDescent="0.3">
      <c r="A11" s="134" t="s">
        <v>2</v>
      </c>
      <c r="B11" s="11"/>
      <c r="C11" s="12">
        <v>176</v>
      </c>
      <c r="D11" s="12">
        <v>0</v>
      </c>
      <c r="E11" s="13">
        <f t="shared" si="0"/>
        <v>176</v>
      </c>
      <c r="F11" s="12">
        <f t="shared" si="1"/>
        <v>22</v>
      </c>
      <c r="G11" s="12">
        <f t="shared" si="1"/>
        <v>0</v>
      </c>
      <c r="H11" s="14">
        <f t="shared" si="2"/>
        <v>22</v>
      </c>
      <c r="I11" s="10"/>
      <c r="K11" s="108" t="s">
        <v>217</v>
      </c>
      <c r="L11" s="135" t="s">
        <v>53</v>
      </c>
      <c r="M11" s="106" t="s">
        <v>64</v>
      </c>
    </row>
    <row r="12" spans="1:14" ht="15.75" x14ac:dyDescent="0.3">
      <c r="A12" s="134" t="s">
        <v>3</v>
      </c>
      <c r="B12" s="11"/>
      <c r="C12" s="12">
        <v>168</v>
      </c>
      <c r="D12" s="12">
        <v>8</v>
      </c>
      <c r="E12" s="13">
        <f t="shared" si="0"/>
        <v>176</v>
      </c>
      <c r="F12" s="12">
        <f t="shared" si="1"/>
        <v>21</v>
      </c>
      <c r="G12" s="12">
        <f t="shared" si="1"/>
        <v>1</v>
      </c>
      <c r="H12" s="14">
        <f t="shared" si="2"/>
        <v>22</v>
      </c>
      <c r="I12" s="10"/>
      <c r="K12" s="108" t="s">
        <v>21</v>
      </c>
      <c r="L12" s="135" t="s">
        <v>54</v>
      </c>
      <c r="M12" s="106" t="s">
        <v>68</v>
      </c>
    </row>
    <row r="13" spans="1:14" ht="15.75" x14ac:dyDescent="0.3">
      <c r="A13" s="134" t="s">
        <v>4</v>
      </c>
      <c r="B13" s="11"/>
      <c r="C13" s="12">
        <v>160</v>
      </c>
      <c r="D13" s="12">
        <v>8</v>
      </c>
      <c r="E13" s="13">
        <f t="shared" si="0"/>
        <v>168</v>
      </c>
      <c r="F13" s="12">
        <f t="shared" si="1"/>
        <v>20</v>
      </c>
      <c r="G13" s="12">
        <f t="shared" si="1"/>
        <v>1</v>
      </c>
      <c r="H13" s="14">
        <f t="shared" si="2"/>
        <v>21</v>
      </c>
      <c r="I13" s="10"/>
      <c r="K13" s="108" t="s">
        <v>22</v>
      </c>
      <c r="L13" s="135" t="s">
        <v>55</v>
      </c>
      <c r="M13" s="106" t="s">
        <v>69</v>
      </c>
    </row>
    <row r="14" spans="1:14" ht="15.75" x14ac:dyDescent="0.3">
      <c r="A14" s="134" t="s">
        <v>5</v>
      </c>
      <c r="B14" s="11"/>
      <c r="C14" s="12">
        <v>160</v>
      </c>
      <c r="D14" s="12">
        <v>16</v>
      </c>
      <c r="E14" s="13">
        <f t="shared" si="0"/>
        <v>176</v>
      </c>
      <c r="F14" s="12">
        <f t="shared" si="1"/>
        <v>20</v>
      </c>
      <c r="G14" s="12">
        <f t="shared" si="1"/>
        <v>2</v>
      </c>
      <c r="H14" s="14">
        <f t="shared" si="2"/>
        <v>22</v>
      </c>
      <c r="I14" s="10"/>
      <c r="K14" s="108" t="s">
        <v>218</v>
      </c>
      <c r="L14" s="135" t="s">
        <v>87</v>
      </c>
      <c r="M14" s="106" t="s">
        <v>66</v>
      </c>
    </row>
    <row r="15" spans="1:14" ht="15.75" x14ac:dyDescent="0.3">
      <c r="A15" s="134" t="s">
        <v>13</v>
      </c>
      <c r="B15" s="11"/>
      <c r="C15" s="12">
        <v>184</v>
      </c>
      <c r="D15" s="12">
        <v>0</v>
      </c>
      <c r="E15" s="13">
        <f t="shared" si="0"/>
        <v>184</v>
      </c>
      <c r="F15" s="12">
        <f t="shared" si="1"/>
        <v>23</v>
      </c>
      <c r="G15" s="12">
        <f t="shared" si="1"/>
        <v>0</v>
      </c>
      <c r="H15" s="14">
        <f t="shared" si="2"/>
        <v>23</v>
      </c>
      <c r="I15" s="10"/>
      <c r="K15" s="108" t="s">
        <v>23</v>
      </c>
      <c r="L15" s="135" t="s">
        <v>56</v>
      </c>
      <c r="M15" s="106" t="s">
        <v>64</v>
      </c>
    </row>
    <row r="16" spans="1:14" ht="15.75" x14ac:dyDescent="0.3">
      <c r="A16" s="134" t="s">
        <v>14</v>
      </c>
      <c r="B16" s="11"/>
      <c r="C16" s="12">
        <v>160</v>
      </c>
      <c r="D16" s="12">
        <v>8</v>
      </c>
      <c r="E16" s="13">
        <f t="shared" si="0"/>
        <v>168</v>
      </c>
      <c r="F16" s="12">
        <f t="shared" si="1"/>
        <v>20</v>
      </c>
      <c r="G16" s="12">
        <f t="shared" si="1"/>
        <v>1</v>
      </c>
      <c r="H16" s="14">
        <f t="shared" si="2"/>
        <v>21</v>
      </c>
      <c r="I16" s="10"/>
      <c r="K16" s="109" t="s">
        <v>24</v>
      </c>
      <c r="L16" s="135" t="s">
        <v>57</v>
      </c>
      <c r="M16" s="106" t="s">
        <v>63</v>
      </c>
    </row>
    <row r="17" spans="1:13" ht="15.75" x14ac:dyDescent="0.3">
      <c r="A17" s="134" t="s">
        <v>15</v>
      </c>
      <c r="B17" s="11"/>
      <c r="C17" s="12">
        <v>176</v>
      </c>
      <c r="D17" s="12">
        <v>0</v>
      </c>
      <c r="E17" s="13">
        <f t="shared" si="0"/>
        <v>176</v>
      </c>
      <c r="F17" s="12">
        <f t="shared" si="1"/>
        <v>22</v>
      </c>
      <c r="G17" s="12">
        <f t="shared" si="1"/>
        <v>0</v>
      </c>
      <c r="H17" s="14">
        <f t="shared" si="2"/>
        <v>22</v>
      </c>
      <c r="I17" s="10"/>
      <c r="J17" s="75"/>
      <c r="K17" s="110" t="s">
        <v>25</v>
      </c>
      <c r="L17" s="135" t="s">
        <v>58</v>
      </c>
      <c r="M17" s="107" t="s">
        <v>69</v>
      </c>
    </row>
    <row r="18" spans="1:13" ht="15.75" x14ac:dyDescent="0.3">
      <c r="A18" s="134" t="s">
        <v>16</v>
      </c>
      <c r="B18" s="11"/>
      <c r="C18" s="12">
        <v>176</v>
      </c>
      <c r="D18" s="12">
        <v>0</v>
      </c>
      <c r="E18" s="13">
        <f t="shared" si="0"/>
        <v>176</v>
      </c>
      <c r="F18" s="12">
        <f t="shared" si="1"/>
        <v>22</v>
      </c>
      <c r="G18" s="12">
        <f t="shared" si="1"/>
        <v>0</v>
      </c>
      <c r="H18" s="14">
        <f t="shared" si="2"/>
        <v>22</v>
      </c>
      <c r="I18" s="10"/>
      <c r="J18" s="75"/>
      <c r="K18" s="110" t="s">
        <v>26</v>
      </c>
      <c r="L18" s="135" t="s">
        <v>59</v>
      </c>
      <c r="M18" s="107" t="s">
        <v>65</v>
      </c>
    </row>
    <row r="19" spans="1:13" ht="15.75" x14ac:dyDescent="0.3">
      <c r="A19" s="134" t="s">
        <v>17</v>
      </c>
      <c r="B19" s="11"/>
      <c r="C19" s="12">
        <v>160</v>
      </c>
      <c r="D19" s="12">
        <v>8</v>
      </c>
      <c r="E19" s="13">
        <f t="shared" si="0"/>
        <v>168</v>
      </c>
      <c r="F19" s="12">
        <f t="shared" si="1"/>
        <v>20</v>
      </c>
      <c r="G19" s="12">
        <f t="shared" si="1"/>
        <v>1</v>
      </c>
      <c r="H19" s="14">
        <f t="shared" si="2"/>
        <v>21</v>
      </c>
      <c r="I19" s="10"/>
      <c r="J19" s="75"/>
      <c r="K19" s="110" t="s">
        <v>27</v>
      </c>
      <c r="L19" s="135" t="s">
        <v>60</v>
      </c>
      <c r="M19" s="107" t="s">
        <v>63</v>
      </c>
    </row>
    <row r="20" spans="1:13" ht="15.75" x14ac:dyDescent="0.3">
      <c r="A20" s="134" t="s">
        <v>18</v>
      </c>
      <c r="B20" s="11"/>
      <c r="C20" s="12">
        <v>176</v>
      </c>
      <c r="D20" s="12">
        <v>8</v>
      </c>
      <c r="E20" s="13">
        <f t="shared" si="0"/>
        <v>184</v>
      </c>
      <c r="F20" s="12">
        <f t="shared" si="1"/>
        <v>22</v>
      </c>
      <c r="G20" s="12">
        <f t="shared" si="1"/>
        <v>1</v>
      </c>
      <c r="H20" s="14">
        <f t="shared" si="2"/>
        <v>23</v>
      </c>
      <c r="I20" s="10"/>
      <c r="J20" s="75"/>
      <c r="K20" s="110" t="s">
        <v>28</v>
      </c>
      <c r="L20" s="135" t="s">
        <v>61</v>
      </c>
      <c r="M20" s="107" t="s">
        <v>68</v>
      </c>
    </row>
    <row r="21" spans="1:13" ht="15.75" customHeight="1" thickBot="1" x14ac:dyDescent="0.35">
      <c r="A21" s="168" t="s">
        <v>49</v>
      </c>
      <c r="B21" s="169"/>
      <c r="C21" s="15">
        <f t="shared" ref="C21:H21" si="3">SUM(C9:C20)</f>
        <v>2016</v>
      </c>
      <c r="D21" s="15">
        <f t="shared" si="3"/>
        <v>72</v>
      </c>
      <c r="E21" s="15">
        <f t="shared" si="3"/>
        <v>2088</v>
      </c>
      <c r="F21" s="15">
        <f t="shared" si="3"/>
        <v>252</v>
      </c>
      <c r="G21" s="15">
        <f t="shared" si="3"/>
        <v>9</v>
      </c>
      <c r="H21" s="16">
        <f t="shared" si="3"/>
        <v>261</v>
      </c>
      <c r="J21" s="75"/>
      <c r="K21" s="110" t="s">
        <v>29</v>
      </c>
      <c r="L21" s="135" t="s">
        <v>62</v>
      </c>
      <c r="M21" s="107" t="s">
        <v>69</v>
      </c>
    </row>
    <row r="22" spans="1:13" ht="15.75" customHeight="1" thickTop="1" x14ac:dyDescent="0.25"/>
    <row r="23" spans="1:13" ht="15.75" customHeight="1" x14ac:dyDescent="0.25"/>
    <row r="24" spans="1:13" ht="15.75" customHeight="1" x14ac:dyDescent="0.25"/>
    <row r="25" spans="1:13" ht="15.75" customHeight="1" x14ac:dyDescent="0.25"/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A8:B8"/>
    <mergeCell ref="A21:B21"/>
    <mergeCell ref="B3:C3"/>
    <mergeCell ref="D3:F3"/>
    <mergeCell ref="G3:H3"/>
    <mergeCell ref="A4:B4"/>
    <mergeCell ref="D4:F4"/>
    <mergeCell ref="G4:H4"/>
    <mergeCell ref="A7:H7"/>
  </mergeCells>
  <pageMargins left="0.70866141732283472" right="0.70866141732283472" top="0.74803149606299213" bottom="0.74803149606299213" header="0" footer="0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00"/>
  <sheetViews>
    <sheetView showGridLines="0" workbookViewId="0">
      <selection activeCell="E8" sqref="E8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6" width="3.85546875" bestFit="1" customWidth="1"/>
    <col min="7" max="15" width="4.7109375" customWidth="1"/>
    <col min="16" max="16" width="4.85546875" bestFit="1" customWidth="1"/>
    <col min="17" max="36" width="4.7109375" customWidth="1"/>
  </cols>
  <sheetData>
    <row r="1" spans="1:36" ht="12.75" customHeight="1" x14ac:dyDescent="0.25">
      <c r="A1" s="17"/>
      <c r="B1" s="17"/>
      <c r="C1" s="17"/>
      <c r="D1" s="17"/>
      <c r="E1" s="17"/>
      <c r="F1" s="17"/>
      <c r="G1" s="17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17"/>
      <c r="AG1" s="17"/>
      <c r="AH1" s="17"/>
      <c r="AI1" s="17"/>
      <c r="AJ1" s="17"/>
    </row>
    <row r="2" spans="1:36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1:36" ht="12.75" customHeight="1" x14ac:dyDescent="0.25">
      <c r="A3" s="195" t="s">
        <v>82</v>
      </c>
      <c r="B3" s="196"/>
      <c r="C3" s="196"/>
      <c r="D3" s="196"/>
      <c r="E3" s="17"/>
      <c r="F3" s="17"/>
      <c r="G3" s="17"/>
      <c r="H3" s="17"/>
      <c r="I3" s="17"/>
      <c r="J3" s="1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17"/>
      <c r="AG3" s="17"/>
      <c r="AH3" s="17"/>
      <c r="AI3" s="17"/>
      <c r="AJ3" s="17"/>
    </row>
    <row r="4" spans="1:36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4"/>
      <c r="AJ5" s="197" t="s">
        <v>86</v>
      </c>
    </row>
    <row r="6" spans="1:36" ht="16.5" customHeight="1" x14ac:dyDescent="0.25">
      <c r="A6" s="206"/>
      <c r="B6" s="211"/>
      <c r="C6" s="196"/>
      <c r="D6" s="212"/>
      <c r="E6" s="102">
        <v>46023</v>
      </c>
      <c r="F6" s="103">
        <f>+E6+1</f>
        <v>46024</v>
      </c>
      <c r="G6" s="103">
        <f t="shared" ref="G6:AI6" si="0">+F6+1</f>
        <v>46025</v>
      </c>
      <c r="H6" s="103">
        <f t="shared" si="0"/>
        <v>46026</v>
      </c>
      <c r="I6" s="103">
        <f t="shared" si="0"/>
        <v>46027</v>
      </c>
      <c r="J6" s="103">
        <f t="shared" si="0"/>
        <v>46028</v>
      </c>
      <c r="K6" s="103">
        <f t="shared" si="0"/>
        <v>46029</v>
      </c>
      <c r="L6" s="103">
        <f t="shared" si="0"/>
        <v>46030</v>
      </c>
      <c r="M6" s="103">
        <f t="shared" si="0"/>
        <v>46031</v>
      </c>
      <c r="N6" s="103">
        <f t="shared" si="0"/>
        <v>46032</v>
      </c>
      <c r="O6" s="103">
        <f t="shared" si="0"/>
        <v>46033</v>
      </c>
      <c r="P6" s="103">
        <f t="shared" si="0"/>
        <v>46034</v>
      </c>
      <c r="Q6" s="103">
        <f t="shared" si="0"/>
        <v>46035</v>
      </c>
      <c r="R6" s="103">
        <f t="shared" si="0"/>
        <v>46036</v>
      </c>
      <c r="S6" s="103">
        <f t="shared" si="0"/>
        <v>46037</v>
      </c>
      <c r="T6" s="103">
        <f t="shared" si="0"/>
        <v>46038</v>
      </c>
      <c r="U6" s="103">
        <f t="shared" si="0"/>
        <v>46039</v>
      </c>
      <c r="V6" s="103">
        <f t="shared" si="0"/>
        <v>46040</v>
      </c>
      <c r="W6" s="103">
        <f t="shared" si="0"/>
        <v>46041</v>
      </c>
      <c r="X6" s="103">
        <f t="shared" si="0"/>
        <v>46042</v>
      </c>
      <c r="Y6" s="103">
        <f t="shared" si="0"/>
        <v>46043</v>
      </c>
      <c r="Z6" s="103">
        <f t="shared" si="0"/>
        <v>46044</v>
      </c>
      <c r="AA6" s="103">
        <f t="shared" si="0"/>
        <v>46045</v>
      </c>
      <c r="AB6" s="103">
        <f t="shared" si="0"/>
        <v>46046</v>
      </c>
      <c r="AC6" s="103">
        <f t="shared" si="0"/>
        <v>46047</v>
      </c>
      <c r="AD6" s="103">
        <f t="shared" si="0"/>
        <v>46048</v>
      </c>
      <c r="AE6" s="103">
        <f t="shared" si="0"/>
        <v>46049</v>
      </c>
      <c r="AF6" s="103">
        <f t="shared" si="0"/>
        <v>46050</v>
      </c>
      <c r="AG6" s="103">
        <f t="shared" si="0"/>
        <v>46051</v>
      </c>
      <c r="AH6" s="103">
        <f t="shared" si="0"/>
        <v>46052</v>
      </c>
      <c r="AI6" s="103">
        <f t="shared" si="0"/>
        <v>46053</v>
      </c>
      <c r="AJ6" s="198"/>
    </row>
    <row r="7" spans="1:36" ht="16.5" customHeight="1" x14ac:dyDescent="0.25">
      <c r="A7" s="207"/>
      <c r="B7" s="213"/>
      <c r="C7" s="214"/>
      <c r="D7" s="215"/>
      <c r="E7" s="66" t="s">
        <v>132</v>
      </c>
      <c r="F7" s="19" t="str">
        <f t="shared" ref="F7:AI7" si="1">IF(E7="Mon","Tue",IF(E7="Tue","Wed",IF(E7="Wed","Thu",IF(E7="Thu","Fri",IF(E7="Fri","Sat",IF(E7="Sat","Sun",IF(E7="Sun","Mon")))))))</f>
        <v>Fri</v>
      </c>
      <c r="G7" s="19" t="str">
        <f t="shared" si="1"/>
        <v>Sat</v>
      </c>
      <c r="H7" s="19" t="str">
        <f t="shared" si="1"/>
        <v>Sun</v>
      </c>
      <c r="I7" s="19" t="str">
        <f t="shared" si="1"/>
        <v>Mon</v>
      </c>
      <c r="J7" s="18" t="str">
        <f t="shared" si="1"/>
        <v>Tue</v>
      </c>
      <c r="K7" s="19" t="str">
        <f t="shared" si="1"/>
        <v>Wed</v>
      </c>
      <c r="L7" s="19" t="str">
        <f t="shared" si="1"/>
        <v>Thu</v>
      </c>
      <c r="M7" s="19" t="str">
        <f t="shared" si="1"/>
        <v>Fri</v>
      </c>
      <c r="N7" s="19" t="str">
        <f t="shared" si="1"/>
        <v>Sat</v>
      </c>
      <c r="O7" s="19" t="str">
        <f t="shared" si="1"/>
        <v>Sun</v>
      </c>
      <c r="P7" s="19" t="str">
        <f t="shared" si="1"/>
        <v>Mon</v>
      </c>
      <c r="Q7" s="19" t="str">
        <f t="shared" si="1"/>
        <v>Tue</v>
      </c>
      <c r="R7" s="19" t="str">
        <f t="shared" si="1"/>
        <v>Wed</v>
      </c>
      <c r="S7" s="19" t="str">
        <f t="shared" si="1"/>
        <v>Thu</v>
      </c>
      <c r="T7" s="19" t="str">
        <f t="shared" si="1"/>
        <v>Fri</v>
      </c>
      <c r="U7" s="19" t="str">
        <f t="shared" si="1"/>
        <v>Sat</v>
      </c>
      <c r="V7" s="19" t="str">
        <f t="shared" si="1"/>
        <v>Sun</v>
      </c>
      <c r="W7" s="19" t="str">
        <f t="shared" si="1"/>
        <v>Mon</v>
      </c>
      <c r="X7" s="19" t="str">
        <f t="shared" si="1"/>
        <v>Tue</v>
      </c>
      <c r="Y7" s="19" t="str">
        <f t="shared" si="1"/>
        <v>Wed</v>
      </c>
      <c r="Z7" s="19" t="str">
        <f t="shared" si="1"/>
        <v>Thu</v>
      </c>
      <c r="AA7" s="19" t="str">
        <f t="shared" si="1"/>
        <v>Fri</v>
      </c>
      <c r="AB7" s="19" t="str">
        <f t="shared" si="1"/>
        <v>Sat</v>
      </c>
      <c r="AC7" s="19" t="str">
        <f t="shared" si="1"/>
        <v>Sun</v>
      </c>
      <c r="AD7" s="19" t="str">
        <f t="shared" si="1"/>
        <v>Mon</v>
      </c>
      <c r="AE7" s="19" t="str">
        <f t="shared" si="1"/>
        <v>Tue</v>
      </c>
      <c r="AF7" s="19" t="str">
        <f t="shared" si="1"/>
        <v>Wed</v>
      </c>
      <c r="AG7" s="19" t="str">
        <f t="shared" si="1"/>
        <v>Thu</v>
      </c>
      <c r="AH7" s="19" t="str">
        <f t="shared" si="1"/>
        <v>Fri</v>
      </c>
      <c r="AI7" s="79" t="str">
        <f t="shared" si="1"/>
        <v>Sat</v>
      </c>
      <c r="AJ7" s="199"/>
    </row>
    <row r="8" spans="1:36" ht="21" customHeight="1" x14ac:dyDescent="0.25">
      <c r="A8" s="20" t="s">
        <v>30</v>
      </c>
      <c r="B8" s="183" t="s">
        <v>90</v>
      </c>
      <c r="C8" s="184"/>
      <c r="D8" s="185"/>
      <c r="E8" s="92"/>
      <c r="F8" s="19"/>
      <c r="G8" s="19"/>
      <c r="H8" s="19"/>
      <c r="I8" s="19"/>
      <c r="J8" s="18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1" t="s">
        <v>31</v>
      </c>
    </row>
    <row r="9" spans="1:36" ht="21" customHeight="1" x14ac:dyDescent="0.25">
      <c r="A9" s="20" t="s">
        <v>32</v>
      </c>
      <c r="B9" s="183" t="s">
        <v>91</v>
      </c>
      <c r="C9" s="184"/>
      <c r="D9" s="185"/>
      <c r="E9" s="18"/>
      <c r="F9" s="19"/>
      <c r="G9" s="19"/>
      <c r="H9" s="19"/>
      <c r="I9" s="19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1" t="s">
        <v>31</v>
      </c>
    </row>
    <row r="10" spans="1:36" ht="21" customHeight="1" x14ac:dyDescent="0.25">
      <c r="A10" s="186" t="s">
        <v>33</v>
      </c>
      <c r="B10" s="188" t="s">
        <v>93</v>
      </c>
      <c r="C10" s="189"/>
      <c r="D10" s="19" t="s">
        <v>88</v>
      </c>
      <c r="E10" s="18"/>
      <c r="F10" s="19"/>
      <c r="G10" s="19"/>
      <c r="H10" s="19"/>
      <c r="I10" s="19"/>
      <c r="J10" s="1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79"/>
      <c r="AJ10" s="21" t="s">
        <v>31</v>
      </c>
    </row>
    <row r="11" spans="1:36" ht="21" customHeight="1" x14ac:dyDescent="0.25">
      <c r="A11" s="187"/>
      <c r="B11" s="190"/>
      <c r="C11" s="191"/>
      <c r="D11" s="22" t="s">
        <v>89</v>
      </c>
      <c r="E11" s="23"/>
      <c r="F11" s="22"/>
      <c r="G11" s="22"/>
      <c r="H11" s="22"/>
      <c r="I11" s="22"/>
      <c r="J11" s="23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80"/>
      <c r="AJ11" s="24" t="s">
        <v>31</v>
      </c>
    </row>
    <row r="12" spans="1:36" ht="21" customHeight="1" thickTop="1" thickBot="1" x14ac:dyDescent="0.3">
      <c r="A12" s="25" t="s">
        <v>34</v>
      </c>
      <c r="B12" s="192" t="s">
        <v>94</v>
      </c>
      <c r="C12" s="193"/>
      <c r="D12" s="194"/>
      <c r="E12" s="26">
        <f t="shared" ref="E12:AI12" si="2">E9-E8</f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  <c r="I12" s="27">
        <f t="shared" si="2"/>
        <v>0</v>
      </c>
      <c r="J12" s="26">
        <f t="shared" si="2"/>
        <v>0</v>
      </c>
      <c r="K12" s="27">
        <f t="shared" si="2"/>
        <v>0</v>
      </c>
      <c r="L12" s="27">
        <f t="shared" si="2"/>
        <v>0</v>
      </c>
      <c r="M12" s="27">
        <f t="shared" si="2"/>
        <v>0</v>
      </c>
      <c r="N12" s="27">
        <f t="shared" si="2"/>
        <v>0</v>
      </c>
      <c r="O12" s="27">
        <f t="shared" si="2"/>
        <v>0</v>
      </c>
      <c r="P12" s="27">
        <f t="shared" si="2"/>
        <v>0</v>
      </c>
      <c r="Q12" s="27">
        <f t="shared" si="2"/>
        <v>0</v>
      </c>
      <c r="R12" s="27">
        <f t="shared" si="2"/>
        <v>0</v>
      </c>
      <c r="S12" s="27">
        <f t="shared" si="2"/>
        <v>0</v>
      </c>
      <c r="T12" s="27">
        <f t="shared" si="2"/>
        <v>0</v>
      </c>
      <c r="U12" s="27">
        <f t="shared" si="2"/>
        <v>0</v>
      </c>
      <c r="V12" s="27">
        <f t="shared" si="2"/>
        <v>0</v>
      </c>
      <c r="W12" s="27">
        <f t="shared" si="2"/>
        <v>0</v>
      </c>
      <c r="X12" s="27">
        <f t="shared" si="2"/>
        <v>0</v>
      </c>
      <c r="Y12" s="27">
        <f t="shared" si="2"/>
        <v>0</v>
      </c>
      <c r="Z12" s="27">
        <f t="shared" si="2"/>
        <v>0</v>
      </c>
      <c r="AA12" s="27">
        <f t="shared" si="2"/>
        <v>0</v>
      </c>
      <c r="AB12" s="27">
        <f t="shared" si="2"/>
        <v>0</v>
      </c>
      <c r="AC12" s="27">
        <f t="shared" si="2"/>
        <v>0</v>
      </c>
      <c r="AD12" s="27">
        <f t="shared" si="2"/>
        <v>0</v>
      </c>
      <c r="AE12" s="27">
        <f t="shared" si="2"/>
        <v>0</v>
      </c>
      <c r="AF12" s="27">
        <f t="shared" si="2"/>
        <v>0</v>
      </c>
      <c r="AG12" s="27">
        <f t="shared" si="2"/>
        <v>0</v>
      </c>
      <c r="AH12" s="27">
        <f t="shared" si="2"/>
        <v>0</v>
      </c>
      <c r="AI12" s="27">
        <f t="shared" si="2"/>
        <v>0</v>
      </c>
      <c r="AJ12" s="82">
        <f t="shared" ref="AJ12" si="3">SUM(E12:AI12)</f>
        <v>0</v>
      </c>
    </row>
    <row r="13" spans="1:36" ht="21" customHeight="1" thickTop="1" x14ac:dyDescent="0.25">
      <c r="A13" s="28" t="s">
        <v>35</v>
      </c>
      <c r="B13" s="216" t="s">
        <v>80</v>
      </c>
      <c r="C13" s="231"/>
      <c r="D13" s="217"/>
      <c r="E13" s="29"/>
      <c r="F13" s="30"/>
      <c r="G13" s="30"/>
      <c r="H13" s="30"/>
      <c r="I13" s="30"/>
      <c r="J13" s="29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83"/>
      <c r="AJ13" s="84">
        <f>SUM(E13:AI13)</f>
        <v>0</v>
      </c>
    </row>
    <row r="14" spans="1:36" ht="21" customHeight="1" x14ac:dyDescent="0.25">
      <c r="A14" s="20" t="s">
        <v>36</v>
      </c>
      <c r="B14" s="183" t="s">
        <v>95</v>
      </c>
      <c r="C14" s="184"/>
      <c r="D14" s="185"/>
      <c r="E14" s="18"/>
      <c r="F14" s="19"/>
      <c r="G14" s="19"/>
      <c r="H14" s="19"/>
      <c r="I14" s="19"/>
      <c r="J14" s="18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79"/>
      <c r="AJ14" s="84">
        <f t="shared" ref="AJ14:AJ33" si="4">SUM(E14:AI14)</f>
        <v>0</v>
      </c>
    </row>
    <row r="15" spans="1:36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18"/>
      <c r="F15" s="19"/>
      <c r="G15" s="19"/>
      <c r="H15" s="19"/>
      <c r="I15" s="19"/>
      <c r="J15" s="18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79"/>
      <c r="AJ15" s="84">
        <f t="shared" si="4"/>
        <v>0</v>
      </c>
    </row>
    <row r="16" spans="1:36" ht="21" customHeight="1" x14ac:dyDescent="0.25">
      <c r="A16" s="20"/>
      <c r="B16" s="220"/>
      <c r="C16" s="220"/>
      <c r="D16" s="140" t="s">
        <v>97</v>
      </c>
      <c r="E16" s="18"/>
      <c r="F16" s="19"/>
      <c r="G16" s="19"/>
      <c r="H16" s="19"/>
      <c r="I16" s="19"/>
      <c r="J16" s="18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79"/>
      <c r="AJ16" s="84">
        <f t="shared" si="4"/>
        <v>0</v>
      </c>
    </row>
    <row r="17" spans="1:36" ht="21" customHeight="1" x14ac:dyDescent="0.25">
      <c r="A17" s="20"/>
      <c r="B17" s="220"/>
      <c r="C17" s="232"/>
      <c r="D17" s="140" t="s">
        <v>98</v>
      </c>
      <c r="E17" s="18"/>
      <c r="F17" s="19"/>
      <c r="G17" s="19"/>
      <c r="H17" s="19"/>
      <c r="I17" s="19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79"/>
      <c r="AJ17" s="84">
        <f t="shared" si="4"/>
        <v>0</v>
      </c>
    </row>
    <row r="18" spans="1:36" ht="21" customHeight="1" x14ac:dyDescent="0.25">
      <c r="A18" s="20"/>
      <c r="B18" s="220"/>
      <c r="C18" s="183" t="s">
        <v>100</v>
      </c>
      <c r="D18" s="228"/>
      <c r="E18" s="18">
        <v>8</v>
      </c>
      <c r="F18" s="19"/>
      <c r="G18" s="19"/>
      <c r="H18" s="19"/>
      <c r="I18" s="19"/>
      <c r="J18" s="18">
        <v>8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79"/>
      <c r="AJ18" s="84">
        <f t="shared" si="4"/>
        <v>16</v>
      </c>
    </row>
    <row r="19" spans="1:36" ht="30" customHeight="1" x14ac:dyDescent="0.25">
      <c r="A19" s="20"/>
      <c r="B19" s="220"/>
      <c r="C19" s="224" t="s">
        <v>105</v>
      </c>
      <c r="D19" s="233"/>
      <c r="E19" s="18"/>
      <c r="F19" s="19"/>
      <c r="G19" s="19"/>
      <c r="H19" s="19"/>
      <c r="I19" s="19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79"/>
      <c r="AJ19" s="84">
        <f t="shared" si="4"/>
        <v>0</v>
      </c>
    </row>
    <row r="20" spans="1:36" ht="21" customHeight="1" x14ac:dyDescent="0.25">
      <c r="A20" s="20"/>
      <c r="B20" s="220"/>
      <c r="C20" s="183" t="s">
        <v>106</v>
      </c>
      <c r="D20" s="185"/>
      <c r="E20" s="18"/>
      <c r="F20" s="19"/>
      <c r="G20" s="19"/>
      <c r="H20" s="19"/>
      <c r="I20" s="19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79"/>
      <c r="AJ20" s="84">
        <f t="shared" si="4"/>
        <v>0</v>
      </c>
    </row>
    <row r="21" spans="1:36" ht="21" customHeight="1" x14ac:dyDescent="0.25">
      <c r="A21" s="20"/>
      <c r="B21" s="220"/>
      <c r="C21" s="183" t="s">
        <v>107</v>
      </c>
      <c r="D21" s="185"/>
      <c r="E21" s="18"/>
      <c r="F21" s="19"/>
      <c r="G21" s="19"/>
      <c r="H21" s="19"/>
      <c r="I21" s="19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79"/>
      <c r="AJ21" s="84">
        <f t="shared" si="4"/>
        <v>0</v>
      </c>
    </row>
    <row r="22" spans="1:36" ht="21" customHeight="1" x14ac:dyDescent="0.25">
      <c r="A22" s="20"/>
      <c r="B22" s="220"/>
      <c r="C22" s="183" t="s">
        <v>108</v>
      </c>
      <c r="D22" s="185"/>
      <c r="E22" s="18"/>
      <c r="F22" s="19"/>
      <c r="G22" s="19"/>
      <c r="H22" s="19"/>
      <c r="I22" s="19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79"/>
      <c r="AJ22" s="84">
        <f t="shared" si="4"/>
        <v>0</v>
      </c>
    </row>
    <row r="23" spans="1:36" ht="21" customHeight="1" x14ac:dyDescent="0.25">
      <c r="A23" s="20"/>
      <c r="B23" s="220"/>
      <c r="C23" s="229" t="s">
        <v>122</v>
      </c>
      <c r="D23" s="230"/>
      <c r="E23" s="18"/>
      <c r="F23" s="19"/>
      <c r="G23" s="19"/>
      <c r="H23" s="19"/>
      <c r="I23" s="19"/>
      <c r="J23" s="18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79"/>
      <c r="AJ23" s="84">
        <f t="shared" si="4"/>
        <v>0</v>
      </c>
    </row>
    <row r="24" spans="1:36" ht="21" customHeight="1" x14ac:dyDescent="0.25">
      <c r="A24" s="20"/>
      <c r="B24" s="220"/>
      <c r="C24" s="183" t="s">
        <v>113</v>
      </c>
      <c r="D24" s="185"/>
      <c r="E24" s="18"/>
      <c r="F24" s="19"/>
      <c r="G24" s="19"/>
      <c r="H24" s="19"/>
      <c r="I24" s="19"/>
      <c r="J24" s="18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79"/>
      <c r="AJ24" s="84">
        <f t="shared" si="4"/>
        <v>0</v>
      </c>
    </row>
    <row r="25" spans="1:36" ht="30" customHeight="1" x14ac:dyDescent="0.25">
      <c r="A25" s="20"/>
      <c r="B25" s="220"/>
      <c r="C25" s="224" t="s">
        <v>114</v>
      </c>
      <c r="D25" s="185"/>
      <c r="E25" s="18"/>
      <c r="F25" s="19"/>
      <c r="G25" s="19"/>
      <c r="H25" s="19"/>
      <c r="I25" s="19"/>
      <c r="J25" s="18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79"/>
      <c r="AJ25" s="84">
        <f t="shared" si="4"/>
        <v>0</v>
      </c>
    </row>
    <row r="26" spans="1:36" ht="21" customHeight="1" x14ac:dyDescent="0.25">
      <c r="A26" s="20"/>
      <c r="B26" s="220"/>
      <c r="C26" s="183" t="s">
        <v>115</v>
      </c>
      <c r="D26" s="185"/>
      <c r="E26" s="18"/>
      <c r="F26" s="19"/>
      <c r="G26" s="19"/>
      <c r="H26" s="19"/>
      <c r="I26" s="19"/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79"/>
      <c r="AJ26" s="84">
        <f t="shared" si="4"/>
        <v>0</v>
      </c>
    </row>
    <row r="27" spans="1:36" ht="21" customHeight="1" x14ac:dyDescent="0.25">
      <c r="A27" s="20"/>
      <c r="B27" s="220"/>
      <c r="C27" s="183" t="s">
        <v>116</v>
      </c>
      <c r="D27" s="185"/>
      <c r="E27" s="18"/>
      <c r="F27" s="19"/>
      <c r="G27" s="19"/>
      <c r="H27" s="19"/>
      <c r="I27" s="19"/>
      <c r="J27" s="18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79"/>
      <c r="AJ27" s="84">
        <f t="shared" si="4"/>
        <v>0</v>
      </c>
    </row>
    <row r="28" spans="1:36" ht="21" customHeight="1" x14ac:dyDescent="0.25">
      <c r="A28" s="20"/>
      <c r="B28" s="220"/>
      <c r="C28" s="225" t="s">
        <v>121</v>
      </c>
      <c r="D28" s="226"/>
      <c r="E28" s="18"/>
      <c r="F28" s="19"/>
      <c r="G28" s="19"/>
      <c r="H28" s="19"/>
      <c r="I28" s="19"/>
      <c r="J28" s="18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79"/>
      <c r="AJ28" s="84">
        <f t="shared" si="4"/>
        <v>0</v>
      </c>
    </row>
    <row r="29" spans="1:36" ht="21" customHeight="1" x14ac:dyDescent="0.25">
      <c r="A29" s="20"/>
      <c r="B29" s="220"/>
      <c r="C29" s="183" t="s">
        <v>120</v>
      </c>
      <c r="D29" s="228"/>
      <c r="E29" s="18"/>
      <c r="F29" s="19"/>
      <c r="G29" s="19"/>
      <c r="H29" s="19"/>
      <c r="I29" s="19"/>
      <c r="J29" s="18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79"/>
      <c r="AJ29" s="84">
        <f t="shared" si="4"/>
        <v>0</v>
      </c>
    </row>
    <row r="30" spans="1:36" ht="21" customHeight="1" x14ac:dyDescent="0.25">
      <c r="A30" s="20"/>
      <c r="B30" s="220"/>
      <c r="C30" s="183" t="s">
        <v>117</v>
      </c>
      <c r="D30" s="185"/>
      <c r="E30" s="18"/>
      <c r="F30" s="19"/>
      <c r="G30" s="19"/>
      <c r="H30" s="19"/>
      <c r="I30" s="19"/>
      <c r="J30" s="18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79"/>
      <c r="AJ30" s="84">
        <f t="shared" si="4"/>
        <v>0</v>
      </c>
    </row>
    <row r="31" spans="1:36" ht="21" customHeight="1" x14ac:dyDescent="0.25">
      <c r="A31" s="20"/>
      <c r="B31" s="220"/>
      <c r="C31" s="183" t="s">
        <v>118</v>
      </c>
      <c r="D31" s="185"/>
      <c r="E31" s="18"/>
      <c r="F31" s="19"/>
      <c r="G31" s="19"/>
      <c r="H31" s="19"/>
      <c r="I31" s="19"/>
      <c r="J31" s="18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79"/>
      <c r="AJ31" s="84">
        <f t="shared" si="4"/>
        <v>0</v>
      </c>
    </row>
    <row r="32" spans="1:36" ht="21" customHeight="1" x14ac:dyDescent="0.25">
      <c r="A32" s="20"/>
      <c r="B32" s="220"/>
      <c r="C32" s="183" t="s">
        <v>119</v>
      </c>
      <c r="D32" s="228"/>
      <c r="E32" s="18"/>
      <c r="F32" s="19"/>
      <c r="G32" s="19"/>
      <c r="H32" s="19"/>
      <c r="I32" s="19"/>
      <c r="J32" s="18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79"/>
      <c r="AJ32" s="84">
        <f t="shared" si="4"/>
        <v>0</v>
      </c>
    </row>
    <row r="33" spans="1:36" ht="21" customHeight="1" x14ac:dyDescent="0.25">
      <c r="A33" s="20"/>
      <c r="B33" s="220"/>
      <c r="C33" s="183" t="s">
        <v>111</v>
      </c>
      <c r="D33" s="185"/>
      <c r="E33" s="18"/>
      <c r="F33" s="19"/>
      <c r="G33" s="19"/>
      <c r="H33" s="19"/>
      <c r="I33" s="19"/>
      <c r="J33" s="18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79"/>
      <c r="AJ33" s="84">
        <f t="shared" si="4"/>
        <v>0</v>
      </c>
    </row>
    <row r="34" spans="1:36" ht="21" customHeight="1" thickBot="1" x14ac:dyDescent="0.3">
      <c r="A34" s="31"/>
      <c r="B34" s="221"/>
      <c r="C34" s="222" t="s">
        <v>112</v>
      </c>
      <c r="D34" s="223"/>
      <c r="E34" s="23"/>
      <c r="F34" s="22"/>
      <c r="G34" s="22"/>
      <c r="H34" s="22"/>
      <c r="I34" s="22"/>
      <c r="J34" s="23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80"/>
      <c r="AJ34" s="24">
        <f>SUM(E34:AI34)</f>
        <v>0</v>
      </c>
    </row>
    <row r="35" spans="1:36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29"/>
      <c r="F35" s="30"/>
      <c r="G35" s="30"/>
      <c r="H35" s="30"/>
      <c r="I35" s="30"/>
      <c r="J35" s="29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83"/>
      <c r="AJ35" s="84">
        <f>SUM(E35:AI35)</f>
        <v>0</v>
      </c>
    </row>
    <row r="36" spans="1:36" ht="21" customHeight="1" x14ac:dyDescent="0.25">
      <c r="A36" s="206"/>
      <c r="B36" s="220"/>
      <c r="C36" s="183" t="s">
        <v>102</v>
      </c>
      <c r="D36" s="185"/>
      <c r="E36" s="18"/>
      <c r="F36" s="19"/>
      <c r="G36" s="19"/>
      <c r="H36" s="19"/>
      <c r="I36" s="19"/>
      <c r="J36" s="18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79"/>
      <c r="AJ36" s="84">
        <f t="shared" ref="AJ36:AJ40" si="5">SUM(E36:AI36)</f>
        <v>0</v>
      </c>
    </row>
    <row r="37" spans="1:36" ht="21" customHeight="1" thickBot="1" x14ac:dyDescent="0.3">
      <c r="A37" s="187"/>
      <c r="B37" s="221"/>
      <c r="C37" s="222" t="s">
        <v>103</v>
      </c>
      <c r="D37" s="223"/>
      <c r="E37" s="23"/>
      <c r="F37" s="22"/>
      <c r="G37" s="22"/>
      <c r="H37" s="22"/>
      <c r="I37" s="22"/>
      <c r="J37" s="23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80"/>
      <c r="AJ37" s="105">
        <f t="shared" si="5"/>
        <v>0</v>
      </c>
    </row>
    <row r="38" spans="1:36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29"/>
      <c r="F38" s="30"/>
      <c r="G38" s="30"/>
      <c r="H38" s="30"/>
      <c r="I38" s="30"/>
      <c r="J38" s="29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83"/>
      <c r="AJ38" s="84">
        <f t="shared" si="5"/>
        <v>0</v>
      </c>
    </row>
    <row r="39" spans="1:36" ht="21" customHeight="1" x14ac:dyDescent="0.25">
      <c r="A39" s="206"/>
      <c r="B39" s="220"/>
      <c r="C39" s="183" t="s">
        <v>102</v>
      </c>
      <c r="D39" s="185"/>
      <c r="E39" s="18"/>
      <c r="F39" s="19"/>
      <c r="G39" s="19"/>
      <c r="H39" s="19"/>
      <c r="I39" s="19"/>
      <c r="J39" s="18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79"/>
      <c r="AJ39" s="142">
        <f t="shared" si="5"/>
        <v>0</v>
      </c>
    </row>
    <row r="40" spans="1:36" ht="21" customHeight="1" thickBot="1" x14ac:dyDescent="0.3">
      <c r="A40" s="187"/>
      <c r="B40" s="221"/>
      <c r="C40" s="222" t="s">
        <v>103</v>
      </c>
      <c r="D40" s="223"/>
      <c r="E40" s="23"/>
      <c r="F40" s="22"/>
      <c r="G40" s="22"/>
      <c r="H40" s="22"/>
      <c r="I40" s="22"/>
      <c r="J40" s="23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32"/>
      <c r="AH40" s="32"/>
      <c r="AI40" s="85"/>
      <c r="AJ40" s="143">
        <f t="shared" si="5"/>
        <v>0</v>
      </c>
    </row>
    <row r="41" spans="1:36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234" t="s">
        <v>86</v>
      </c>
      <c r="AH41" s="235"/>
      <c r="AI41" s="236"/>
      <c r="AJ41" s="144">
        <f>SUM(AJ12:AJ40)</f>
        <v>16</v>
      </c>
    </row>
    <row r="42" spans="1:36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1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  <c r="AJ43" s="17"/>
    </row>
    <row r="44" spans="1:36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1:36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</row>
    <row r="57" spans="1:36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</row>
    <row r="58" spans="1:36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</row>
    <row r="59" spans="1:36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1:36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</row>
    <row r="61" spans="1:36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</row>
    <row r="62" spans="1:36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1:36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 spans="1:36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 spans="1:36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 spans="1:36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</row>
    <row r="67" spans="1:36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</row>
    <row r="68" spans="1:36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</row>
    <row r="69" spans="1:36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</row>
    <row r="70" spans="1:36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 spans="1:36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</row>
    <row r="72" spans="1:36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</row>
    <row r="73" spans="1:36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</row>
    <row r="74" spans="1:36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</row>
    <row r="75" spans="1:36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</row>
    <row r="76" spans="1:36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</row>
    <row r="77" spans="1:36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</row>
    <row r="78" spans="1:36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</row>
    <row r="79" spans="1:36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</row>
    <row r="80" spans="1:36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</row>
    <row r="81" spans="1:36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</row>
    <row r="82" spans="1:36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</row>
    <row r="83" spans="1:36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</row>
    <row r="84" spans="1:36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</row>
    <row r="85" spans="1:36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</row>
    <row r="86" spans="1:36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</row>
    <row r="87" spans="1:36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</row>
    <row r="88" spans="1:36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</row>
    <row r="89" spans="1:36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</row>
    <row r="90" spans="1:36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</row>
    <row r="91" spans="1:36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</row>
    <row r="92" spans="1:36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</row>
    <row r="93" spans="1:36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</row>
    <row r="94" spans="1:36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</row>
    <row r="95" spans="1:36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</row>
    <row r="96" spans="1:36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</row>
    <row r="97" spans="1:36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</row>
    <row r="98" spans="1:36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</row>
    <row r="99" spans="1:36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</row>
    <row r="100" spans="1:36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G41:AI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B8:D8"/>
    <mergeCell ref="B9:D9"/>
    <mergeCell ref="A10:A11"/>
    <mergeCell ref="B10:C11"/>
    <mergeCell ref="B12:D12"/>
  </mergeCells>
  <phoneticPr fontId="16" type="noConversion"/>
  <pageMargins left="0.43307086614173229" right="0.39370078740157483" top="0.31496062992125984" bottom="0.31496062992125984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000"/>
  <sheetViews>
    <sheetView showGridLines="0" topLeftCell="A5" workbookViewId="0">
      <selection activeCell="E8" sqref="E8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4" width="4.7109375" customWidth="1"/>
    <col min="35" max="35" width="9.140625" customWidth="1"/>
  </cols>
  <sheetData>
    <row r="1" spans="1:35" ht="12.75" customHeight="1" x14ac:dyDescent="0.25">
      <c r="A1" s="17"/>
      <c r="B1" s="17"/>
      <c r="C1" s="17"/>
      <c r="D1" s="17"/>
      <c r="E1" s="17"/>
      <c r="F1" s="17"/>
      <c r="G1" s="17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17"/>
      <c r="AG1" s="17"/>
      <c r="AH1" s="17"/>
      <c r="AI1" s="17"/>
    </row>
    <row r="2" spans="1:35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17"/>
      <c r="H2" s="17"/>
      <c r="I2" s="17"/>
      <c r="J2" s="8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2.75" customHeight="1" x14ac:dyDescent="0.25">
      <c r="A3" s="195" t="s">
        <v>82</v>
      </c>
      <c r="B3" s="196"/>
      <c r="C3" s="196"/>
      <c r="D3" s="196"/>
      <c r="E3" s="17"/>
      <c r="F3" s="17"/>
      <c r="G3" s="17"/>
      <c r="H3" s="17"/>
      <c r="I3" s="17"/>
      <c r="J3" s="8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17"/>
      <c r="AG3" s="17"/>
      <c r="AH3" s="17"/>
      <c r="AI3" s="17"/>
    </row>
    <row r="4" spans="1:35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8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42" t="s">
        <v>86</v>
      </c>
      <c r="AI5" s="36"/>
    </row>
    <row r="6" spans="1:35" ht="16.5" customHeight="1" x14ac:dyDescent="0.25">
      <c r="A6" s="206"/>
      <c r="B6" s="211"/>
      <c r="C6" s="196"/>
      <c r="D6" s="212"/>
      <c r="E6" s="104">
        <f>+January!AI6+1</f>
        <v>46054</v>
      </c>
      <c r="F6" s="103">
        <f>+E6+1</f>
        <v>46055</v>
      </c>
      <c r="G6" s="103">
        <f t="shared" ref="G6:AF6" si="0">+F6+1</f>
        <v>46056</v>
      </c>
      <c r="H6" s="103">
        <f t="shared" si="0"/>
        <v>46057</v>
      </c>
      <c r="I6" s="103">
        <f t="shared" si="0"/>
        <v>46058</v>
      </c>
      <c r="J6" s="103">
        <f t="shared" si="0"/>
        <v>46059</v>
      </c>
      <c r="K6" s="103">
        <f t="shared" si="0"/>
        <v>46060</v>
      </c>
      <c r="L6" s="103">
        <f t="shared" si="0"/>
        <v>46061</v>
      </c>
      <c r="M6" s="103">
        <f t="shared" si="0"/>
        <v>46062</v>
      </c>
      <c r="N6" s="103">
        <f t="shared" si="0"/>
        <v>46063</v>
      </c>
      <c r="O6" s="103">
        <f t="shared" si="0"/>
        <v>46064</v>
      </c>
      <c r="P6" s="103">
        <f t="shared" si="0"/>
        <v>46065</v>
      </c>
      <c r="Q6" s="103">
        <f t="shared" si="0"/>
        <v>46066</v>
      </c>
      <c r="R6" s="103">
        <f t="shared" si="0"/>
        <v>46067</v>
      </c>
      <c r="S6" s="103">
        <f t="shared" si="0"/>
        <v>46068</v>
      </c>
      <c r="T6" s="103">
        <f t="shared" si="0"/>
        <v>46069</v>
      </c>
      <c r="U6" s="103">
        <f t="shared" si="0"/>
        <v>46070</v>
      </c>
      <c r="V6" s="103">
        <f t="shared" si="0"/>
        <v>46071</v>
      </c>
      <c r="W6" s="103">
        <f t="shared" si="0"/>
        <v>46072</v>
      </c>
      <c r="X6" s="103">
        <f t="shared" si="0"/>
        <v>46073</v>
      </c>
      <c r="Y6" s="103">
        <f t="shared" si="0"/>
        <v>46074</v>
      </c>
      <c r="Z6" s="103">
        <f t="shared" si="0"/>
        <v>46075</v>
      </c>
      <c r="AA6" s="103">
        <f t="shared" si="0"/>
        <v>46076</v>
      </c>
      <c r="AB6" s="103">
        <f t="shared" si="0"/>
        <v>46077</v>
      </c>
      <c r="AC6" s="103">
        <f t="shared" si="0"/>
        <v>46078</v>
      </c>
      <c r="AD6" s="103">
        <f t="shared" si="0"/>
        <v>46079</v>
      </c>
      <c r="AE6" s="103">
        <f t="shared" si="0"/>
        <v>46080</v>
      </c>
      <c r="AF6" s="103">
        <f t="shared" si="0"/>
        <v>46081</v>
      </c>
      <c r="AG6" s="103"/>
      <c r="AH6" s="198"/>
      <c r="AI6" s="36"/>
    </row>
    <row r="7" spans="1:35" ht="16.5" customHeight="1" x14ac:dyDescent="0.25">
      <c r="A7" s="207"/>
      <c r="B7" s="213"/>
      <c r="C7" s="214"/>
      <c r="D7" s="215"/>
      <c r="E7" s="67" t="s">
        <v>133</v>
      </c>
      <c r="F7" s="19" t="str">
        <f t="shared" ref="F7:AG7" si="1">IF(E7="Mon","Tue",IF(E7="Tue","Wed",IF(E7="Wed","Thu",IF(E7="Thu","Fri",IF(E7="Fri","Sat",IF(E7="Sat","Sun",IF(E7="Sun","Mon")))))))</f>
        <v>Mon</v>
      </c>
      <c r="G7" s="19" t="str">
        <f t="shared" si="1"/>
        <v>Tue</v>
      </c>
      <c r="H7" s="19" t="str">
        <f t="shared" si="1"/>
        <v>Wed</v>
      </c>
      <c r="I7" s="19" t="str">
        <f t="shared" si="1"/>
        <v>Thu</v>
      </c>
      <c r="J7" s="37" t="str">
        <f t="shared" si="1"/>
        <v>Fri</v>
      </c>
      <c r="K7" s="19" t="str">
        <f t="shared" si="1"/>
        <v>Sat</v>
      </c>
      <c r="L7" s="19" t="str">
        <f t="shared" si="1"/>
        <v>Sun</v>
      </c>
      <c r="M7" s="19" t="str">
        <f t="shared" si="1"/>
        <v>Mon</v>
      </c>
      <c r="N7" s="19" t="str">
        <f t="shared" si="1"/>
        <v>Tue</v>
      </c>
      <c r="O7" s="19" t="str">
        <f t="shared" si="1"/>
        <v>Wed</v>
      </c>
      <c r="P7" s="19" t="str">
        <f t="shared" si="1"/>
        <v>Thu</v>
      </c>
      <c r="Q7" s="19" t="str">
        <f t="shared" si="1"/>
        <v>Fri</v>
      </c>
      <c r="R7" s="19" t="str">
        <f t="shared" si="1"/>
        <v>Sat</v>
      </c>
      <c r="S7" s="19" t="str">
        <f t="shared" si="1"/>
        <v>Sun</v>
      </c>
      <c r="T7" s="19" t="str">
        <f t="shared" si="1"/>
        <v>Mon</v>
      </c>
      <c r="U7" s="19" t="str">
        <f t="shared" si="1"/>
        <v>Tue</v>
      </c>
      <c r="V7" s="19" t="str">
        <f t="shared" si="1"/>
        <v>Wed</v>
      </c>
      <c r="W7" s="19" t="str">
        <f t="shared" si="1"/>
        <v>Thu</v>
      </c>
      <c r="X7" s="19" t="str">
        <f t="shared" si="1"/>
        <v>Fri</v>
      </c>
      <c r="Y7" s="19" t="str">
        <f t="shared" si="1"/>
        <v>Sat</v>
      </c>
      <c r="Z7" s="19" t="str">
        <f t="shared" si="1"/>
        <v>Sun</v>
      </c>
      <c r="AA7" s="19" t="str">
        <f t="shared" si="1"/>
        <v>Mon</v>
      </c>
      <c r="AB7" s="19" t="str">
        <f t="shared" si="1"/>
        <v>Tue</v>
      </c>
      <c r="AC7" s="19" t="str">
        <f t="shared" si="1"/>
        <v>Wed</v>
      </c>
      <c r="AD7" s="19" t="str">
        <f t="shared" si="1"/>
        <v>Thu</v>
      </c>
      <c r="AE7" s="19" t="str">
        <f t="shared" si="1"/>
        <v>Fri</v>
      </c>
      <c r="AF7" s="19" t="str">
        <f t="shared" si="1"/>
        <v>Sat</v>
      </c>
      <c r="AG7" s="19" t="str">
        <f t="shared" si="1"/>
        <v>Sun</v>
      </c>
      <c r="AH7" s="199"/>
      <c r="AI7" s="36"/>
    </row>
    <row r="8" spans="1:35" ht="21" customHeight="1" x14ac:dyDescent="0.25">
      <c r="A8" s="20" t="s">
        <v>30</v>
      </c>
      <c r="B8" s="183" t="s">
        <v>90</v>
      </c>
      <c r="C8" s="184"/>
      <c r="D8" s="185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8" t="s">
        <v>31</v>
      </c>
      <c r="AI8" s="36"/>
    </row>
    <row r="9" spans="1:35" ht="21" customHeight="1" x14ac:dyDescent="0.25">
      <c r="A9" s="20" t="s">
        <v>32</v>
      </c>
      <c r="B9" s="183" t="s">
        <v>91</v>
      </c>
      <c r="C9" s="184"/>
      <c r="D9" s="185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8" t="s">
        <v>31</v>
      </c>
      <c r="AI9" s="36"/>
    </row>
    <row r="10" spans="1:35" ht="21" customHeight="1" x14ac:dyDescent="0.25">
      <c r="A10" s="186" t="s">
        <v>33</v>
      </c>
      <c r="B10" s="238" t="s">
        <v>93</v>
      </c>
      <c r="C10" s="239"/>
      <c r="D10" s="19" t="s">
        <v>88</v>
      </c>
      <c r="E10" s="37"/>
      <c r="F10" s="19"/>
      <c r="G10" s="19"/>
      <c r="H10" s="19"/>
      <c r="I10" s="19"/>
      <c r="J10" s="3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38" t="s">
        <v>31</v>
      </c>
      <c r="AI10" s="36"/>
    </row>
    <row r="11" spans="1:35" ht="21" customHeight="1" x14ac:dyDescent="0.25">
      <c r="A11" s="187"/>
      <c r="B11" s="240"/>
      <c r="C11" s="241"/>
      <c r="D11" s="22" t="s">
        <v>89</v>
      </c>
      <c r="E11" s="39"/>
      <c r="F11" s="22"/>
      <c r="G11" s="22"/>
      <c r="H11" s="22"/>
      <c r="I11" s="22"/>
      <c r="J11" s="3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40" t="s">
        <v>31</v>
      </c>
      <c r="AI11" s="36"/>
    </row>
    <row r="12" spans="1:35" ht="21" customHeight="1" thickTop="1" thickBot="1" x14ac:dyDescent="0.3">
      <c r="A12" s="25" t="s">
        <v>34</v>
      </c>
      <c r="B12" s="192" t="s">
        <v>94</v>
      </c>
      <c r="C12" s="193"/>
      <c r="D12" s="194"/>
      <c r="E12" s="41">
        <f t="shared" ref="E12:AG12" si="2">E9-E8</f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  <c r="I12" s="27">
        <f t="shared" si="2"/>
        <v>0</v>
      </c>
      <c r="J12" s="41">
        <f t="shared" si="2"/>
        <v>0</v>
      </c>
      <c r="K12" s="27">
        <f t="shared" si="2"/>
        <v>0</v>
      </c>
      <c r="L12" s="27">
        <f t="shared" si="2"/>
        <v>0</v>
      </c>
      <c r="M12" s="27">
        <f t="shared" si="2"/>
        <v>0</v>
      </c>
      <c r="N12" s="27">
        <f t="shared" si="2"/>
        <v>0</v>
      </c>
      <c r="O12" s="27">
        <f t="shared" si="2"/>
        <v>0</v>
      </c>
      <c r="P12" s="27">
        <f t="shared" si="2"/>
        <v>0</v>
      </c>
      <c r="Q12" s="27">
        <f t="shared" si="2"/>
        <v>0</v>
      </c>
      <c r="R12" s="27">
        <f t="shared" si="2"/>
        <v>0</v>
      </c>
      <c r="S12" s="27">
        <f t="shared" si="2"/>
        <v>0</v>
      </c>
      <c r="T12" s="27">
        <f t="shared" si="2"/>
        <v>0</v>
      </c>
      <c r="U12" s="27">
        <f t="shared" si="2"/>
        <v>0</v>
      </c>
      <c r="V12" s="27">
        <f t="shared" si="2"/>
        <v>0</v>
      </c>
      <c r="W12" s="27">
        <f t="shared" si="2"/>
        <v>0</v>
      </c>
      <c r="X12" s="27">
        <f t="shared" si="2"/>
        <v>0</v>
      </c>
      <c r="Y12" s="27">
        <f t="shared" si="2"/>
        <v>0</v>
      </c>
      <c r="Z12" s="27">
        <f t="shared" si="2"/>
        <v>0</v>
      </c>
      <c r="AA12" s="27">
        <f t="shared" si="2"/>
        <v>0</v>
      </c>
      <c r="AB12" s="27">
        <f t="shared" si="2"/>
        <v>0</v>
      </c>
      <c r="AC12" s="27">
        <f t="shared" si="2"/>
        <v>0</v>
      </c>
      <c r="AD12" s="27">
        <f t="shared" si="2"/>
        <v>0</v>
      </c>
      <c r="AE12" s="27">
        <f t="shared" si="2"/>
        <v>0</v>
      </c>
      <c r="AF12" s="27">
        <f t="shared" si="2"/>
        <v>0</v>
      </c>
      <c r="AG12" s="27">
        <f t="shared" si="2"/>
        <v>0</v>
      </c>
      <c r="AH12" s="88">
        <f t="shared" ref="AH12:AH40" si="3">SUM(E12:AG12)</f>
        <v>0</v>
      </c>
      <c r="AI12" s="36"/>
    </row>
    <row r="13" spans="1:35" ht="21" customHeight="1" thickTop="1" x14ac:dyDescent="0.25">
      <c r="A13" s="28" t="s">
        <v>35</v>
      </c>
      <c r="B13" s="216" t="s">
        <v>80</v>
      </c>
      <c r="C13" s="231"/>
      <c r="D13" s="217"/>
      <c r="E13" s="42"/>
      <c r="F13" s="30"/>
      <c r="G13" s="30"/>
      <c r="H13" s="30"/>
      <c r="I13" s="30"/>
      <c r="J13" s="42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89">
        <f t="shared" si="3"/>
        <v>0</v>
      </c>
      <c r="AI13" s="36"/>
    </row>
    <row r="14" spans="1:35" ht="21" customHeight="1" x14ac:dyDescent="0.25">
      <c r="A14" s="20" t="s">
        <v>36</v>
      </c>
      <c r="B14" s="183" t="s">
        <v>95</v>
      </c>
      <c r="C14" s="184"/>
      <c r="D14" s="185"/>
      <c r="E14" s="37"/>
      <c r="F14" s="19"/>
      <c r="G14" s="19"/>
      <c r="H14" s="19"/>
      <c r="I14" s="19"/>
      <c r="J14" s="37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38">
        <f t="shared" si="3"/>
        <v>0</v>
      </c>
      <c r="AI14" s="36"/>
    </row>
    <row r="15" spans="1:35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37"/>
      <c r="F15" s="19"/>
      <c r="G15" s="19"/>
      <c r="H15" s="19"/>
      <c r="I15" s="19"/>
      <c r="J15" s="37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38">
        <f t="shared" si="3"/>
        <v>0</v>
      </c>
      <c r="AI15" s="36"/>
    </row>
    <row r="16" spans="1:35" ht="21" customHeight="1" x14ac:dyDescent="0.25">
      <c r="A16" s="20"/>
      <c r="B16" s="220"/>
      <c r="C16" s="220"/>
      <c r="D16" s="140" t="s">
        <v>97</v>
      </c>
      <c r="E16" s="37"/>
      <c r="F16" s="19"/>
      <c r="G16" s="19"/>
      <c r="H16" s="19"/>
      <c r="I16" s="19"/>
      <c r="J16" s="37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38">
        <f t="shared" si="3"/>
        <v>0</v>
      </c>
      <c r="AI16" s="36"/>
    </row>
    <row r="17" spans="1:35" ht="21" customHeight="1" x14ac:dyDescent="0.25">
      <c r="A17" s="20"/>
      <c r="B17" s="220"/>
      <c r="C17" s="232"/>
      <c r="D17" s="140" t="s">
        <v>98</v>
      </c>
      <c r="E17" s="37"/>
      <c r="F17" s="19"/>
      <c r="G17" s="19"/>
      <c r="H17" s="19"/>
      <c r="I17" s="19"/>
      <c r="J17" s="37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38">
        <f t="shared" si="3"/>
        <v>0</v>
      </c>
      <c r="AI17" s="36"/>
    </row>
    <row r="18" spans="1:35" ht="21" customHeight="1" x14ac:dyDescent="0.25">
      <c r="A18" s="20"/>
      <c r="B18" s="220"/>
      <c r="C18" s="183" t="s">
        <v>100</v>
      </c>
      <c r="D18" s="185"/>
      <c r="E18" s="37"/>
      <c r="F18" s="19"/>
      <c r="G18" s="19"/>
      <c r="H18" s="19"/>
      <c r="I18" s="19"/>
      <c r="J18" s="37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38">
        <f t="shared" si="3"/>
        <v>0</v>
      </c>
      <c r="AI18" s="36"/>
    </row>
    <row r="19" spans="1:35" ht="30" customHeight="1" x14ac:dyDescent="0.25">
      <c r="A19" s="20"/>
      <c r="B19" s="220"/>
      <c r="C19" s="224" t="s">
        <v>105</v>
      </c>
      <c r="D19" s="185"/>
      <c r="E19" s="37"/>
      <c r="F19" s="19"/>
      <c r="G19" s="19"/>
      <c r="H19" s="19"/>
      <c r="I19" s="19"/>
      <c r="J19" s="37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38">
        <f t="shared" si="3"/>
        <v>0</v>
      </c>
      <c r="AI19" s="36"/>
    </row>
    <row r="20" spans="1:35" ht="21" customHeight="1" x14ac:dyDescent="0.25">
      <c r="A20" s="20"/>
      <c r="B20" s="220"/>
      <c r="C20" s="183" t="s">
        <v>106</v>
      </c>
      <c r="D20" s="185"/>
      <c r="E20" s="37"/>
      <c r="F20" s="19"/>
      <c r="G20" s="19"/>
      <c r="H20" s="19"/>
      <c r="I20" s="19"/>
      <c r="J20" s="37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38">
        <f t="shared" si="3"/>
        <v>0</v>
      </c>
      <c r="AI20" s="36"/>
    </row>
    <row r="21" spans="1:35" ht="21" customHeight="1" x14ac:dyDescent="0.25">
      <c r="A21" s="20"/>
      <c r="B21" s="220"/>
      <c r="C21" s="183" t="s">
        <v>107</v>
      </c>
      <c r="D21" s="185"/>
      <c r="E21" s="37"/>
      <c r="F21" s="19"/>
      <c r="G21" s="19"/>
      <c r="H21" s="19"/>
      <c r="I21" s="19"/>
      <c r="J21" s="37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38">
        <f t="shared" si="3"/>
        <v>0</v>
      </c>
      <c r="AI21" s="36"/>
    </row>
    <row r="22" spans="1:35" ht="21" customHeight="1" x14ac:dyDescent="0.25">
      <c r="A22" s="20"/>
      <c r="B22" s="220"/>
      <c r="C22" s="183" t="s">
        <v>108</v>
      </c>
      <c r="D22" s="185"/>
      <c r="E22" s="37"/>
      <c r="F22" s="19"/>
      <c r="G22" s="19"/>
      <c r="H22" s="19"/>
      <c r="I22" s="19"/>
      <c r="J22" s="37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38">
        <f t="shared" si="3"/>
        <v>0</v>
      </c>
      <c r="AI22" s="36"/>
    </row>
    <row r="23" spans="1:35" ht="21" customHeight="1" x14ac:dyDescent="0.25">
      <c r="A23" s="20"/>
      <c r="B23" s="220"/>
      <c r="C23" s="229" t="s">
        <v>122</v>
      </c>
      <c r="D23" s="230"/>
      <c r="E23" s="37"/>
      <c r="F23" s="19"/>
      <c r="G23" s="19"/>
      <c r="H23" s="19"/>
      <c r="I23" s="19"/>
      <c r="J23" s="37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38">
        <f t="shared" si="3"/>
        <v>0</v>
      </c>
      <c r="AI23" s="36"/>
    </row>
    <row r="24" spans="1:35" ht="21" customHeight="1" x14ac:dyDescent="0.25">
      <c r="A24" s="20"/>
      <c r="B24" s="220"/>
      <c r="C24" s="183" t="s">
        <v>113</v>
      </c>
      <c r="D24" s="185"/>
      <c r="E24" s="37"/>
      <c r="F24" s="19"/>
      <c r="G24" s="19"/>
      <c r="H24" s="19"/>
      <c r="I24" s="19"/>
      <c r="J24" s="37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38">
        <f t="shared" si="3"/>
        <v>0</v>
      </c>
      <c r="AI24" s="36"/>
    </row>
    <row r="25" spans="1:35" ht="30" customHeight="1" x14ac:dyDescent="0.25">
      <c r="A25" s="20"/>
      <c r="B25" s="220"/>
      <c r="C25" s="224" t="s">
        <v>114</v>
      </c>
      <c r="D25" s="185"/>
      <c r="E25" s="37"/>
      <c r="F25" s="19"/>
      <c r="G25" s="19"/>
      <c r="H25" s="19"/>
      <c r="I25" s="19"/>
      <c r="J25" s="37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38">
        <f t="shared" si="3"/>
        <v>0</v>
      </c>
      <c r="AI25" s="36"/>
    </row>
    <row r="26" spans="1:35" ht="21" customHeight="1" x14ac:dyDescent="0.25">
      <c r="A26" s="20"/>
      <c r="B26" s="220"/>
      <c r="C26" s="183" t="s">
        <v>115</v>
      </c>
      <c r="D26" s="185"/>
      <c r="E26" s="37"/>
      <c r="F26" s="19"/>
      <c r="G26" s="19"/>
      <c r="H26" s="19"/>
      <c r="I26" s="19"/>
      <c r="J26" s="37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38">
        <f t="shared" si="3"/>
        <v>0</v>
      </c>
      <c r="AI26" s="36"/>
    </row>
    <row r="27" spans="1:35" ht="21" customHeight="1" x14ac:dyDescent="0.25">
      <c r="A27" s="20"/>
      <c r="B27" s="220"/>
      <c r="C27" s="183" t="s">
        <v>116</v>
      </c>
      <c r="D27" s="185"/>
      <c r="E27" s="37"/>
      <c r="F27" s="19"/>
      <c r="G27" s="19"/>
      <c r="H27" s="19"/>
      <c r="I27" s="19"/>
      <c r="J27" s="37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38">
        <f t="shared" si="3"/>
        <v>0</v>
      </c>
      <c r="AI27" s="36"/>
    </row>
    <row r="28" spans="1:35" ht="21" customHeight="1" x14ac:dyDescent="0.25">
      <c r="A28" s="20"/>
      <c r="B28" s="220"/>
      <c r="C28" s="225" t="s">
        <v>121</v>
      </c>
      <c r="D28" s="226"/>
      <c r="E28" s="37"/>
      <c r="F28" s="19"/>
      <c r="G28" s="19"/>
      <c r="H28" s="19"/>
      <c r="I28" s="19"/>
      <c r="J28" s="37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38">
        <f t="shared" si="3"/>
        <v>0</v>
      </c>
      <c r="AI28" s="36"/>
    </row>
    <row r="29" spans="1:35" ht="21" customHeight="1" x14ac:dyDescent="0.25">
      <c r="A29" s="20"/>
      <c r="B29" s="220"/>
      <c r="C29" s="183" t="s">
        <v>120</v>
      </c>
      <c r="D29" s="228"/>
      <c r="E29" s="37"/>
      <c r="F29" s="19"/>
      <c r="G29" s="19"/>
      <c r="H29" s="19"/>
      <c r="I29" s="19"/>
      <c r="J29" s="37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38">
        <f t="shared" si="3"/>
        <v>0</v>
      </c>
      <c r="AI29" s="36"/>
    </row>
    <row r="30" spans="1:35" ht="21" customHeight="1" x14ac:dyDescent="0.25">
      <c r="A30" s="20"/>
      <c r="B30" s="220"/>
      <c r="C30" s="183" t="s">
        <v>117</v>
      </c>
      <c r="D30" s="185"/>
      <c r="E30" s="37"/>
      <c r="F30" s="19"/>
      <c r="G30" s="19"/>
      <c r="H30" s="19"/>
      <c r="I30" s="19"/>
      <c r="J30" s="37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38">
        <f t="shared" si="3"/>
        <v>0</v>
      </c>
      <c r="AI30" s="36"/>
    </row>
    <row r="31" spans="1:35" ht="21" customHeight="1" x14ac:dyDescent="0.25">
      <c r="A31" s="20"/>
      <c r="B31" s="220"/>
      <c r="C31" s="183" t="s">
        <v>118</v>
      </c>
      <c r="D31" s="185"/>
      <c r="E31" s="37"/>
      <c r="F31" s="19"/>
      <c r="G31" s="19"/>
      <c r="H31" s="19"/>
      <c r="I31" s="19"/>
      <c r="J31" s="37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38">
        <f t="shared" si="3"/>
        <v>0</v>
      </c>
      <c r="AI31" s="36"/>
    </row>
    <row r="32" spans="1:35" ht="21" customHeight="1" x14ac:dyDescent="0.25">
      <c r="A32" s="20"/>
      <c r="B32" s="220"/>
      <c r="C32" s="183" t="s">
        <v>119</v>
      </c>
      <c r="D32" s="228"/>
      <c r="E32" s="37"/>
      <c r="F32" s="19"/>
      <c r="G32" s="19"/>
      <c r="H32" s="19"/>
      <c r="I32" s="19"/>
      <c r="J32" s="37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38">
        <f t="shared" si="3"/>
        <v>0</v>
      </c>
      <c r="AI32" s="36"/>
    </row>
    <row r="33" spans="1:35" ht="21" customHeight="1" x14ac:dyDescent="0.25">
      <c r="A33" s="20"/>
      <c r="B33" s="220"/>
      <c r="C33" s="183" t="s">
        <v>111</v>
      </c>
      <c r="D33" s="185"/>
      <c r="E33" s="37"/>
      <c r="F33" s="19"/>
      <c r="G33" s="19"/>
      <c r="H33" s="19"/>
      <c r="I33" s="19"/>
      <c r="J33" s="37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38">
        <f t="shared" si="3"/>
        <v>0</v>
      </c>
      <c r="AI33" s="36"/>
    </row>
    <row r="34" spans="1:35" ht="21" customHeight="1" thickBot="1" x14ac:dyDescent="0.3">
      <c r="A34" s="31"/>
      <c r="B34" s="221"/>
      <c r="C34" s="222" t="s">
        <v>112</v>
      </c>
      <c r="D34" s="223"/>
      <c r="E34" s="39"/>
      <c r="F34" s="22"/>
      <c r="G34" s="22"/>
      <c r="H34" s="22"/>
      <c r="I34" s="22"/>
      <c r="J34" s="39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40">
        <f t="shared" si="3"/>
        <v>0</v>
      </c>
      <c r="AI34" s="36"/>
    </row>
    <row r="35" spans="1:35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42"/>
      <c r="F35" s="30"/>
      <c r="G35" s="30"/>
      <c r="H35" s="30"/>
      <c r="I35" s="30"/>
      <c r="J35" s="42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89">
        <f t="shared" si="3"/>
        <v>0</v>
      </c>
      <c r="AI35" s="36"/>
    </row>
    <row r="36" spans="1:35" ht="21" customHeight="1" x14ac:dyDescent="0.25">
      <c r="A36" s="206"/>
      <c r="B36" s="220"/>
      <c r="C36" s="183" t="s">
        <v>102</v>
      </c>
      <c r="D36" s="185"/>
      <c r="E36" s="37"/>
      <c r="F36" s="19"/>
      <c r="G36" s="19"/>
      <c r="H36" s="19"/>
      <c r="I36" s="19"/>
      <c r="J36" s="37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38">
        <f t="shared" si="3"/>
        <v>0</v>
      </c>
      <c r="AI36" s="36"/>
    </row>
    <row r="37" spans="1:35" ht="21" customHeight="1" thickBot="1" x14ac:dyDescent="0.3">
      <c r="A37" s="187"/>
      <c r="B37" s="221"/>
      <c r="C37" s="222" t="s">
        <v>103</v>
      </c>
      <c r="D37" s="223"/>
      <c r="E37" s="39"/>
      <c r="F37" s="22"/>
      <c r="G37" s="22"/>
      <c r="H37" s="22"/>
      <c r="I37" s="22"/>
      <c r="J37" s="39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40">
        <f t="shared" si="3"/>
        <v>0</v>
      </c>
      <c r="AI37" s="36"/>
    </row>
    <row r="38" spans="1:35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42"/>
      <c r="F38" s="30"/>
      <c r="G38" s="30"/>
      <c r="H38" s="30"/>
      <c r="I38" s="30"/>
      <c r="J38" s="42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89">
        <f t="shared" si="3"/>
        <v>0</v>
      </c>
      <c r="AI38" s="36"/>
    </row>
    <row r="39" spans="1:35" ht="21" customHeight="1" x14ac:dyDescent="0.25">
      <c r="A39" s="206"/>
      <c r="B39" s="220"/>
      <c r="C39" s="183" t="s">
        <v>102</v>
      </c>
      <c r="D39" s="185"/>
      <c r="E39" s="37"/>
      <c r="F39" s="19"/>
      <c r="G39" s="19"/>
      <c r="H39" s="19"/>
      <c r="I39" s="19"/>
      <c r="J39" s="37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38">
        <f t="shared" si="3"/>
        <v>0</v>
      </c>
      <c r="AI39" s="36"/>
    </row>
    <row r="40" spans="1:35" ht="21" customHeight="1" thickBot="1" x14ac:dyDescent="0.3">
      <c r="A40" s="187"/>
      <c r="B40" s="221"/>
      <c r="C40" s="222" t="s">
        <v>103</v>
      </c>
      <c r="D40" s="223"/>
      <c r="E40" s="39"/>
      <c r="F40" s="22"/>
      <c r="G40" s="22"/>
      <c r="H40" s="22"/>
      <c r="I40" s="22"/>
      <c r="J40" s="39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90">
        <f t="shared" si="3"/>
        <v>0</v>
      </c>
      <c r="AI40" s="36"/>
    </row>
    <row r="41" spans="1:35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8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43"/>
      <c r="AG41" s="235"/>
      <c r="AH41" s="33">
        <f>SUM(AH12:AH40)</f>
        <v>0</v>
      </c>
      <c r="AI41" s="17"/>
    </row>
    <row r="42" spans="1:35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8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8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201"/>
      <c r="AH43" s="17"/>
      <c r="AI43" s="17"/>
    </row>
    <row r="44" spans="1:35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8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8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8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8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8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8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8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8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8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35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8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8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8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8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8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8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8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8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8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5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8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8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8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8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8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8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8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8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8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8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8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8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1:35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8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8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8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8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8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8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8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8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8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1:35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8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8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8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8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8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8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8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8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8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8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8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8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8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8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8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8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8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8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G41"/>
    <mergeCell ref="M43:T43"/>
    <mergeCell ref="Z43:AG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H5:AH7"/>
    <mergeCell ref="I1:U1"/>
    <mergeCell ref="V1:AA1"/>
    <mergeCell ref="A2:D2"/>
    <mergeCell ref="A3:D3"/>
    <mergeCell ref="L3:P3"/>
    <mergeCell ref="Q3:AA3"/>
    <mergeCell ref="E5:AG5"/>
    <mergeCell ref="A5:A7"/>
    <mergeCell ref="B5:D7"/>
    <mergeCell ref="B8:D8"/>
    <mergeCell ref="B9:D9"/>
    <mergeCell ref="A10:A11"/>
    <mergeCell ref="B10:C11"/>
    <mergeCell ref="B12:D12"/>
  </mergeCells>
  <pageMargins left="0.43307086614173229" right="0.39370078740157483" top="0.31496062992125984" bottom="0.31496062992125984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000"/>
  <sheetViews>
    <sheetView showGridLines="0" workbookViewId="0">
      <selection activeCell="E8" sqref="E8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6" width="4.7109375" customWidth="1"/>
  </cols>
  <sheetData>
    <row r="1" spans="1:36" ht="12.75" customHeight="1" x14ac:dyDescent="0.25">
      <c r="A1" s="17"/>
      <c r="B1" s="17"/>
      <c r="C1" s="17"/>
      <c r="D1" s="17"/>
      <c r="E1" s="17"/>
      <c r="F1" s="17"/>
      <c r="G1" s="17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17"/>
      <c r="AG1" s="17"/>
      <c r="AH1" s="17"/>
      <c r="AI1" s="17"/>
      <c r="AJ1" s="17"/>
    </row>
    <row r="2" spans="1:36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17"/>
      <c r="H2" s="17"/>
      <c r="I2" s="17"/>
      <c r="J2" s="8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1:36" ht="12.75" customHeight="1" x14ac:dyDescent="0.25">
      <c r="A3" s="195" t="s">
        <v>82</v>
      </c>
      <c r="B3" s="196"/>
      <c r="C3" s="196"/>
      <c r="D3" s="196"/>
      <c r="E3" s="17"/>
      <c r="F3" s="17"/>
      <c r="G3" s="17"/>
      <c r="H3" s="17"/>
      <c r="I3" s="17"/>
      <c r="J3" s="8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17"/>
      <c r="AG3" s="17"/>
      <c r="AH3" s="17"/>
      <c r="AI3" s="17"/>
      <c r="AJ3" s="17"/>
    </row>
    <row r="4" spans="1:36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8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44"/>
      <c r="AJ5" s="197" t="s">
        <v>86</v>
      </c>
    </row>
    <row r="6" spans="1:36" ht="16.5" customHeight="1" x14ac:dyDescent="0.25">
      <c r="A6" s="206"/>
      <c r="B6" s="211"/>
      <c r="C6" s="196"/>
      <c r="D6" s="212"/>
      <c r="E6" s="104">
        <f>+February!AF6+1</f>
        <v>46082</v>
      </c>
      <c r="F6" s="103">
        <f>+E6+1</f>
        <v>46083</v>
      </c>
      <c r="G6" s="103">
        <f t="shared" ref="G6:AI6" si="0">+F6+1</f>
        <v>46084</v>
      </c>
      <c r="H6" s="103">
        <f t="shared" si="0"/>
        <v>46085</v>
      </c>
      <c r="I6" s="103">
        <f t="shared" si="0"/>
        <v>46086</v>
      </c>
      <c r="J6" s="103">
        <f t="shared" si="0"/>
        <v>46087</v>
      </c>
      <c r="K6" s="103">
        <f t="shared" si="0"/>
        <v>46088</v>
      </c>
      <c r="L6" s="103">
        <f t="shared" si="0"/>
        <v>46089</v>
      </c>
      <c r="M6" s="103">
        <f t="shared" si="0"/>
        <v>46090</v>
      </c>
      <c r="N6" s="103">
        <f t="shared" si="0"/>
        <v>46091</v>
      </c>
      <c r="O6" s="103">
        <f t="shared" si="0"/>
        <v>46092</v>
      </c>
      <c r="P6" s="103">
        <f t="shared" si="0"/>
        <v>46093</v>
      </c>
      <c r="Q6" s="103">
        <f t="shared" si="0"/>
        <v>46094</v>
      </c>
      <c r="R6" s="103">
        <f t="shared" si="0"/>
        <v>46095</v>
      </c>
      <c r="S6" s="103">
        <f t="shared" si="0"/>
        <v>46096</v>
      </c>
      <c r="T6" s="103">
        <f t="shared" si="0"/>
        <v>46097</v>
      </c>
      <c r="U6" s="103">
        <f t="shared" si="0"/>
        <v>46098</v>
      </c>
      <c r="V6" s="103">
        <f t="shared" si="0"/>
        <v>46099</v>
      </c>
      <c r="W6" s="103">
        <f t="shared" si="0"/>
        <v>46100</v>
      </c>
      <c r="X6" s="103">
        <f t="shared" si="0"/>
        <v>46101</v>
      </c>
      <c r="Y6" s="103">
        <f t="shared" si="0"/>
        <v>46102</v>
      </c>
      <c r="Z6" s="103">
        <f t="shared" si="0"/>
        <v>46103</v>
      </c>
      <c r="AA6" s="103">
        <f t="shared" si="0"/>
        <v>46104</v>
      </c>
      <c r="AB6" s="103">
        <f t="shared" si="0"/>
        <v>46105</v>
      </c>
      <c r="AC6" s="103">
        <f t="shared" si="0"/>
        <v>46106</v>
      </c>
      <c r="AD6" s="103">
        <f t="shared" si="0"/>
        <v>46107</v>
      </c>
      <c r="AE6" s="103">
        <f t="shared" si="0"/>
        <v>46108</v>
      </c>
      <c r="AF6" s="103">
        <f t="shared" si="0"/>
        <v>46109</v>
      </c>
      <c r="AG6" s="103">
        <f t="shared" si="0"/>
        <v>46110</v>
      </c>
      <c r="AH6" s="103">
        <f t="shared" si="0"/>
        <v>46111</v>
      </c>
      <c r="AI6" s="103">
        <f t="shared" si="0"/>
        <v>46112</v>
      </c>
      <c r="AJ6" s="198"/>
    </row>
    <row r="7" spans="1:36" ht="16.5" customHeight="1" x14ac:dyDescent="0.25">
      <c r="A7" s="207"/>
      <c r="B7" s="213"/>
      <c r="C7" s="214"/>
      <c r="D7" s="215"/>
      <c r="E7" s="67" t="s">
        <v>133</v>
      </c>
      <c r="F7" s="19" t="str">
        <f t="shared" ref="F7:AI7" si="1">IF(E7="Mon","Tue",IF(E7="Tue","Wed",IF(E7="Wed","Thu",IF(E7="Thu","Fri",IF(E7="Fri","Sat",IF(E7="Sat","Sun",IF(E7="Sun","Mon")))))))</f>
        <v>Mon</v>
      </c>
      <c r="G7" s="19" t="str">
        <f t="shared" si="1"/>
        <v>Tue</v>
      </c>
      <c r="H7" s="19" t="str">
        <f t="shared" si="1"/>
        <v>Wed</v>
      </c>
      <c r="I7" s="19" t="str">
        <f t="shared" si="1"/>
        <v>Thu</v>
      </c>
      <c r="J7" s="37" t="str">
        <f t="shared" si="1"/>
        <v>Fri</v>
      </c>
      <c r="K7" s="19" t="str">
        <f t="shared" si="1"/>
        <v>Sat</v>
      </c>
      <c r="L7" s="19" t="str">
        <f t="shared" si="1"/>
        <v>Sun</v>
      </c>
      <c r="M7" s="19" t="str">
        <f t="shared" si="1"/>
        <v>Mon</v>
      </c>
      <c r="N7" s="19" t="str">
        <f t="shared" si="1"/>
        <v>Tue</v>
      </c>
      <c r="O7" s="19" t="str">
        <f t="shared" si="1"/>
        <v>Wed</v>
      </c>
      <c r="P7" s="19" t="str">
        <f t="shared" si="1"/>
        <v>Thu</v>
      </c>
      <c r="Q7" s="19" t="str">
        <f t="shared" si="1"/>
        <v>Fri</v>
      </c>
      <c r="R7" s="19" t="str">
        <f t="shared" si="1"/>
        <v>Sat</v>
      </c>
      <c r="S7" s="19" t="str">
        <f t="shared" si="1"/>
        <v>Sun</v>
      </c>
      <c r="T7" s="19" t="str">
        <f t="shared" si="1"/>
        <v>Mon</v>
      </c>
      <c r="U7" s="19" t="str">
        <f t="shared" si="1"/>
        <v>Tue</v>
      </c>
      <c r="V7" s="19" t="str">
        <f t="shared" si="1"/>
        <v>Wed</v>
      </c>
      <c r="W7" s="19" t="str">
        <f t="shared" si="1"/>
        <v>Thu</v>
      </c>
      <c r="X7" s="19" t="str">
        <f t="shared" si="1"/>
        <v>Fri</v>
      </c>
      <c r="Y7" s="19" t="str">
        <f t="shared" si="1"/>
        <v>Sat</v>
      </c>
      <c r="Z7" s="19" t="str">
        <f t="shared" si="1"/>
        <v>Sun</v>
      </c>
      <c r="AA7" s="19" t="str">
        <f t="shared" si="1"/>
        <v>Mon</v>
      </c>
      <c r="AB7" s="19" t="str">
        <f t="shared" si="1"/>
        <v>Tue</v>
      </c>
      <c r="AC7" s="19" t="str">
        <f t="shared" si="1"/>
        <v>Wed</v>
      </c>
      <c r="AD7" s="19" t="str">
        <f t="shared" si="1"/>
        <v>Thu</v>
      </c>
      <c r="AE7" s="19" t="str">
        <f t="shared" si="1"/>
        <v>Fri</v>
      </c>
      <c r="AF7" s="19" t="str">
        <f t="shared" si="1"/>
        <v>Sat</v>
      </c>
      <c r="AG7" s="19" t="str">
        <f t="shared" si="1"/>
        <v>Sun</v>
      </c>
      <c r="AH7" s="19" t="str">
        <f t="shared" si="1"/>
        <v>Mon</v>
      </c>
      <c r="AI7" s="79" t="str">
        <f t="shared" si="1"/>
        <v>Tue</v>
      </c>
      <c r="AJ7" s="199"/>
    </row>
    <row r="8" spans="1:36" ht="21" customHeight="1" x14ac:dyDescent="0.25">
      <c r="A8" s="20" t="s">
        <v>30</v>
      </c>
      <c r="B8" s="183" t="s">
        <v>90</v>
      </c>
      <c r="C8" s="184"/>
      <c r="D8" s="185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19"/>
      <c r="AJ8" s="21" t="s">
        <v>31</v>
      </c>
    </row>
    <row r="9" spans="1:36" ht="21" customHeight="1" x14ac:dyDescent="0.25">
      <c r="A9" s="20" t="s">
        <v>32</v>
      </c>
      <c r="B9" s="183" t="s">
        <v>91</v>
      </c>
      <c r="C9" s="184"/>
      <c r="D9" s="185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19"/>
      <c r="AJ9" s="21" t="s">
        <v>31</v>
      </c>
    </row>
    <row r="10" spans="1:36" ht="21" customHeight="1" x14ac:dyDescent="0.25">
      <c r="A10" s="186" t="s">
        <v>33</v>
      </c>
      <c r="B10" s="238" t="s">
        <v>93</v>
      </c>
      <c r="C10" s="239"/>
      <c r="D10" s="19" t="s">
        <v>88</v>
      </c>
      <c r="E10" s="37"/>
      <c r="F10" s="19"/>
      <c r="G10" s="19"/>
      <c r="H10" s="19"/>
      <c r="I10" s="19"/>
      <c r="J10" s="3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79"/>
      <c r="AH10" s="79"/>
      <c r="AI10" s="79"/>
      <c r="AJ10" s="21" t="s">
        <v>31</v>
      </c>
    </row>
    <row r="11" spans="1:36" ht="21" customHeight="1" x14ac:dyDescent="0.25">
      <c r="A11" s="187"/>
      <c r="B11" s="240"/>
      <c r="C11" s="241"/>
      <c r="D11" s="22" t="s">
        <v>89</v>
      </c>
      <c r="E11" s="39"/>
      <c r="F11" s="22"/>
      <c r="G11" s="22"/>
      <c r="H11" s="22"/>
      <c r="I11" s="22"/>
      <c r="J11" s="3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80"/>
      <c r="AH11" s="80"/>
      <c r="AI11" s="80"/>
      <c r="AJ11" s="24" t="s">
        <v>31</v>
      </c>
    </row>
    <row r="12" spans="1:36" ht="21" customHeight="1" thickTop="1" thickBot="1" x14ac:dyDescent="0.3">
      <c r="A12" s="25" t="s">
        <v>34</v>
      </c>
      <c r="B12" s="192" t="s">
        <v>94</v>
      </c>
      <c r="C12" s="193"/>
      <c r="D12" s="194"/>
      <c r="E12" s="41">
        <f>E9-E8</f>
        <v>0</v>
      </c>
      <c r="F12" s="41">
        <f t="shared" ref="F12:AH12" si="2">F9-F8</f>
        <v>0</v>
      </c>
      <c r="G12" s="41">
        <f t="shared" si="2"/>
        <v>0</v>
      </c>
      <c r="H12" s="41">
        <f t="shared" si="2"/>
        <v>0</v>
      </c>
      <c r="I12" s="41">
        <f t="shared" si="2"/>
        <v>0</v>
      </c>
      <c r="J12" s="41">
        <f t="shared" si="2"/>
        <v>0</v>
      </c>
      <c r="K12" s="41">
        <f t="shared" si="2"/>
        <v>0</v>
      </c>
      <c r="L12" s="41">
        <f t="shared" si="2"/>
        <v>0</v>
      </c>
      <c r="M12" s="41">
        <f t="shared" si="2"/>
        <v>0</v>
      </c>
      <c r="N12" s="41">
        <f t="shared" si="2"/>
        <v>0</v>
      </c>
      <c r="O12" s="41">
        <f t="shared" si="2"/>
        <v>0</v>
      </c>
      <c r="P12" s="41">
        <f t="shared" si="2"/>
        <v>0</v>
      </c>
      <c r="Q12" s="41">
        <f t="shared" si="2"/>
        <v>0</v>
      </c>
      <c r="R12" s="41">
        <f t="shared" si="2"/>
        <v>0</v>
      </c>
      <c r="S12" s="41">
        <f t="shared" si="2"/>
        <v>0</v>
      </c>
      <c r="T12" s="41">
        <f t="shared" si="2"/>
        <v>0</v>
      </c>
      <c r="U12" s="41">
        <f t="shared" si="2"/>
        <v>0</v>
      </c>
      <c r="V12" s="41">
        <f t="shared" si="2"/>
        <v>0</v>
      </c>
      <c r="W12" s="41">
        <f t="shared" si="2"/>
        <v>0</v>
      </c>
      <c r="X12" s="41">
        <f t="shared" si="2"/>
        <v>0</v>
      </c>
      <c r="Y12" s="41">
        <f t="shared" si="2"/>
        <v>0</v>
      </c>
      <c r="Z12" s="41">
        <f t="shared" si="2"/>
        <v>0</v>
      </c>
      <c r="AA12" s="41">
        <f t="shared" si="2"/>
        <v>0</v>
      </c>
      <c r="AB12" s="41">
        <f t="shared" si="2"/>
        <v>0</v>
      </c>
      <c r="AC12" s="41">
        <f t="shared" si="2"/>
        <v>0</v>
      </c>
      <c r="AD12" s="41">
        <f t="shared" si="2"/>
        <v>0</v>
      </c>
      <c r="AE12" s="41">
        <f t="shared" si="2"/>
        <v>0</v>
      </c>
      <c r="AF12" s="41">
        <f t="shared" si="2"/>
        <v>0</v>
      </c>
      <c r="AG12" s="41">
        <f t="shared" si="2"/>
        <v>0</v>
      </c>
      <c r="AH12" s="41">
        <f t="shared" si="2"/>
        <v>0</v>
      </c>
      <c r="AI12" s="27">
        <f>AI9-AI8</f>
        <v>0</v>
      </c>
      <c r="AJ12" s="82">
        <f t="shared" ref="AJ12:AJ40" si="3">SUM(E12:AI12)</f>
        <v>0</v>
      </c>
    </row>
    <row r="13" spans="1:36" ht="21" customHeight="1" thickTop="1" x14ac:dyDescent="0.25">
      <c r="A13" s="28" t="s">
        <v>35</v>
      </c>
      <c r="B13" s="216" t="s">
        <v>80</v>
      </c>
      <c r="C13" s="231"/>
      <c r="D13" s="217"/>
      <c r="E13" s="42"/>
      <c r="F13" s="30"/>
      <c r="G13" s="30"/>
      <c r="H13" s="30"/>
      <c r="I13" s="30"/>
      <c r="J13" s="42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83"/>
      <c r="AH13" s="83"/>
      <c r="AI13" s="83"/>
      <c r="AJ13" s="84">
        <f t="shared" si="3"/>
        <v>0</v>
      </c>
    </row>
    <row r="14" spans="1:36" ht="21" customHeight="1" x14ac:dyDescent="0.25">
      <c r="A14" s="20" t="s">
        <v>36</v>
      </c>
      <c r="B14" s="183" t="s">
        <v>95</v>
      </c>
      <c r="C14" s="184"/>
      <c r="D14" s="185"/>
      <c r="E14" s="37"/>
      <c r="F14" s="19"/>
      <c r="G14" s="19"/>
      <c r="H14" s="19"/>
      <c r="I14" s="19"/>
      <c r="J14" s="37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79"/>
      <c r="AH14" s="79"/>
      <c r="AI14" s="79"/>
      <c r="AJ14" s="21">
        <f t="shared" si="3"/>
        <v>0</v>
      </c>
    </row>
    <row r="15" spans="1:36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37"/>
      <c r="F15" s="19"/>
      <c r="G15" s="19"/>
      <c r="H15" s="19"/>
      <c r="I15" s="19"/>
      <c r="J15" s="37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79"/>
      <c r="AH15" s="79"/>
      <c r="AI15" s="79"/>
      <c r="AJ15" s="21">
        <f t="shared" si="3"/>
        <v>0</v>
      </c>
    </row>
    <row r="16" spans="1:36" ht="21" customHeight="1" x14ac:dyDescent="0.25">
      <c r="A16" s="20"/>
      <c r="B16" s="220"/>
      <c r="C16" s="220"/>
      <c r="D16" s="140" t="s">
        <v>97</v>
      </c>
      <c r="E16" s="37"/>
      <c r="F16" s="19"/>
      <c r="G16" s="19"/>
      <c r="H16" s="19"/>
      <c r="I16" s="19"/>
      <c r="J16" s="37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79"/>
      <c r="AH16" s="79"/>
      <c r="AI16" s="79"/>
      <c r="AJ16" s="21">
        <f t="shared" si="3"/>
        <v>0</v>
      </c>
    </row>
    <row r="17" spans="1:36" ht="21" customHeight="1" x14ac:dyDescent="0.25">
      <c r="A17" s="20"/>
      <c r="B17" s="220"/>
      <c r="C17" s="232"/>
      <c r="D17" s="140" t="s">
        <v>98</v>
      </c>
      <c r="E17" s="37"/>
      <c r="F17" s="19"/>
      <c r="G17" s="19"/>
      <c r="H17" s="19"/>
      <c r="I17" s="19"/>
      <c r="J17" s="37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79"/>
      <c r="AH17" s="79"/>
      <c r="AI17" s="79"/>
      <c r="AJ17" s="21">
        <f t="shared" si="3"/>
        <v>0</v>
      </c>
    </row>
    <row r="18" spans="1:36" ht="21" customHeight="1" x14ac:dyDescent="0.25">
      <c r="A18" s="20"/>
      <c r="B18" s="220"/>
      <c r="C18" s="183" t="s">
        <v>100</v>
      </c>
      <c r="D18" s="185"/>
      <c r="E18" s="37"/>
      <c r="F18" s="19"/>
      <c r="G18" s="19"/>
      <c r="H18" s="19"/>
      <c r="I18" s="19"/>
      <c r="J18" s="37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79"/>
      <c r="AH18" s="79"/>
      <c r="AI18" s="79"/>
      <c r="AJ18" s="21">
        <f t="shared" si="3"/>
        <v>0</v>
      </c>
    </row>
    <row r="19" spans="1:36" ht="30" customHeight="1" x14ac:dyDescent="0.25">
      <c r="A19" s="20"/>
      <c r="B19" s="220"/>
      <c r="C19" s="224" t="s">
        <v>105</v>
      </c>
      <c r="D19" s="185"/>
      <c r="E19" s="37"/>
      <c r="F19" s="19"/>
      <c r="G19" s="19"/>
      <c r="H19" s="19"/>
      <c r="I19" s="19"/>
      <c r="J19" s="37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79"/>
      <c r="AH19" s="79"/>
      <c r="AI19" s="79"/>
      <c r="AJ19" s="21">
        <f t="shared" si="3"/>
        <v>0</v>
      </c>
    </row>
    <row r="20" spans="1:36" ht="21" customHeight="1" x14ac:dyDescent="0.25">
      <c r="A20" s="20"/>
      <c r="B20" s="220"/>
      <c r="C20" s="183" t="s">
        <v>106</v>
      </c>
      <c r="D20" s="185"/>
      <c r="E20" s="37"/>
      <c r="F20" s="19"/>
      <c r="G20" s="19"/>
      <c r="H20" s="19"/>
      <c r="I20" s="19"/>
      <c r="J20" s="37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79"/>
      <c r="AH20" s="79"/>
      <c r="AI20" s="79"/>
      <c r="AJ20" s="21">
        <f t="shared" si="3"/>
        <v>0</v>
      </c>
    </row>
    <row r="21" spans="1:36" ht="21" customHeight="1" x14ac:dyDescent="0.25">
      <c r="A21" s="20"/>
      <c r="B21" s="220"/>
      <c r="C21" s="183" t="s">
        <v>107</v>
      </c>
      <c r="D21" s="185"/>
      <c r="E21" s="37"/>
      <c r="F21" s="19"/>
      <c r="G21" s="19"/>
      <c r="H21" s="19"/>
      <c r="I21" s="19"/>
      <c r="J21" s="37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79"/>
      <c r="AH21" s="79"/>
      <c r="AI21" s="79"/>
      <c r="AJ21" s="21">
        <f t="shared" si="3"/>
        <v>0</v>
      </c>
    </row>
    <row r="22" spans="1:36" ht="21" customHeight="1" x14ac:dyDescent="0.25">
      <c r="A22" s="20"/>
      <c r="B22" s="220"/>
      <c r="C22" s="183" t="s">
        <v>108</v>
      </c>
      <c r="D22" s="185"/>
      <c r="E22" s="37"/>
      <c r="F22" s="19"/>
      <c r="G22" s="19"/>
      <c r="H22" s="19"/>
      <c r="I22" s="19"/>
      <c r="J22" s="37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79"/>
      <c r="AH22" s="79"/>
      <c r="AI22" s="79"/>
      <c r="AJ22" s="21">
        <f t="shared" si="3"/>
        <v>0</v>
      </c>
    </row>
    <row r="23" spans="1:36" ht="21" customHeight="1" x14ac:dyDescent="0.25">
      <c r="A23" s="20"/>
      <c r="B23" s="220"/>
      <c r="C23" s="229" t="s">
        <v>122</v>
      </c>
      <c r="D23" s="230"/>
      <c r="E23" s="37"/>
      <c r="F23" s="19"/>
      <c r="G23" s="19"/>
      <c r="H23" s="19"/>
      <c r="I23" s="19"/>
      <c r="J23" s="37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79"/>
      <c r="AH23" s="79"/>
      <c r="AI23" s="79"/>
      <c r="AJ23" s="21">
        <f t="shared" si="3"/>
        <v>0</v>
      </c>
    </row>
    <row r="24" spans="1:36" ht="21" customHeight="1" x14ac:dyDescent="0.25">
      <c r="A24" s="20"/>
      <c r="B24" s="220"/>
      <c r="C24" s="183" t="s">
        <v>113</v>
      </c>
      <c r="D24" s="185"/>
      <c r="E24" s="37"/>
      <c r="F24" s="19"/>
      <c r="G24" s="19"/>
      <c r="H24" s="19"/>
      <c r="I24" s="19"/>
      <c r="J24" s="37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79"/>
      <c r="AH24" s="79"/>
      <c r="AI24" s="79"/>
      <c r="AJ24" s="21">
        <f t="shared" si="3"/>
        <v>0</v>
      </c>
    </row>
    <row r="25" spans="1:36" ht="30" customHeight="1" x14ac:dyDescent="0.25">
      <c r="A25" s="20"/>
      <c r="B25" s="220"/>
      <c r="C25" s="224" t="s">
        <v>114</v>
      </c>
      <c r="D25" s="185"/>
      <c r="E25" s="37"/>
      <c r="F25" s="19"/>
      <c r="G25" s="19"/>
      <c r="H25" s="19"/>
      <c r="I25" s="19"/>
      <c r="J25" s="37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79"/>
      <c r="AH25" s="79"/>
      <c r="AI25" s="79"/>
      <c r="AJ25" s="21">
        <f t="shared" si="3"/>
        <v>0</v>
      </c>
    </row>
    <row r="26" spans="1:36" ht="21" customHeight="1" x14ac:dyDescent="0.25">
      <c r="A26" s="20"/>
      <c r="B26" s="220"/>
      <c r="C26" s="183" t="s">
        <v>115</v>
      </c>
      <c r="D26" s="185"/>
      <c r="E26" s="37"/>
      <c r="F26" s="19"/>
      <c r="G26" s="19"/>
      <c r="H26" s="19"/>
      <c r="I26" s="19"/>
      <c r="J26" s="37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79"/>
      <c r="AH26" s="79"/>
      <c r="AI26" s="79"/>
      <c r="AJ26" s="21">
        <f t="shared" si="3"/>
        <v>0</v>
      </c>
    </row>
    <row r="27" spans="1:36" ht="21" customHeight="1" x14ac:dyDescent="0.25">
      <c r="A27" s="20"/>
      <c r="B27" s="220"/>
      <c r="C27" s="183" t="s">
        <v>116</v>
      </c>
      <c r="D27" s="185"/>
      <c r="E27" s="37"/>
      <c r="F27" s="19"/>
      <c r="G27" s="19"/>
      <c r="H27" s="19"/>
      <c r="I27" s="19"/>
      <c r="J27" s="37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79"/>
      <c r="AH27" s="79"/>
      <c r="AI27" s="79"/>
      <c r="AJ27" s="21">
        <f t="shared" si="3"/>
        <v>0</v>
      </c>
    </row>
    <row r="28" spans="1:36" ht="21" customHeight="1" x14ac:dyDescent="0.25">
      <c r="A28" s="20"/>
      <c r="B28" s="220"/>
      <c r="C28" s="225" t="s">
        <v>121</v>
      </c>
      <c r="D28" s="226"/>
      <c r="E28" s="37"/>
      <c r="F28" s="19"/>
      <c r="G28" s="19"/>
      <c r="H28" s="19"/>
      <c r="I28" s="19"/>
      <c r="J28" s="37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79"/>
      <c r="AH28" s="79"/>
      <c r="AI28" s="79"/>
      <c r="AJ28" s="21">
        <f t="shared" si="3"/>
        <v>0</v>
      </c>
    </row>
    <row r="29" spans="1:36" ht="21" customHeight="1" x14ac:dyDescent="0.25">
      <c r="A29" s="20"/>
      <c r="B29" s="220"/>
      <c r="C29" s="183" t="s">
        <v>120</v>
      </c>
      <c r="D29" s="228"/>
      <c r="E29" s="37"/>
      <c r="F29" s="19"/>
      <c r="G29" s="19"/>
      <c r="H29" s="19"/>
      <c r="I29" s="19"/>
      <c r="J29" s="37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79"/>
      <c r="AH29" s="79"/>
      <c r="AI29" s="79"/>
      <c r="AJ29" s="21">
        <f t="shared" si="3"/>
        <v>0</v>
      </c>
    </row>
    <row r="30" spans="1:36" ht="21" customHeight="1" x14ac:dyDescent="0.25">
      <c r="A30" s="20"/>
      <c r="B30" s="220"/>
      <c r="C30" s="183" t="s">
        <v>117</v>
      </c>
      <c r="D30" s="185"/>
      <c r="E30" s="37"/>
      <c r="F30" s="19"/>
      <c r="G30" s="19"/>
      <c r="H30" s="19"/>
      <c r="I30" s="19"/>
      <c r="J30" s="37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79"/>
      <c r="AH30" s="79"/>
      <c r="AI30" s="79"/>
      <c r="AJ30" s="21">
        <f t="shared" si="3"/>
        <v>0</v>
      </c>
    </row>
    <row r="31" spans="1:36" ht="21" customHeight="1" x14ac:dyDescent="0.25">
      <c r="A31" s="20"/>
      <c r="B31" s="220"/>
      <c r="C31" s="183" t="s">
        <v>118</v>
      </c>
      <c r="D31" s="185"/>
      <c r="E31" s="37"/>
      <c r="F31" s="19"/>
      <c r="G31" s="19"/>
      <c r="H31" s="19"/>
      <c r="I31" s="19"/>
      <c r="J31" s="37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79"/>
      <c r="AH31" s="79"/>
      <c r="AI31" s="79"/>
      <c r="AJ31" s="21">
        <f t="shared" si="3"/>
        <v>0</v>
      </c>
    </row>
    <row r="32" spans="1:36" ht="21" customHeight="1" x14ac:dyDescent="0.25">
      <c r="A32" s="20"/>
      <c r="B32" s="220"/>
      <c r="C32" s="183" t="s">
        <v>119</v>
      </c>
      <c r="D32" s="228"/>
      <c r="E32" s="37"/>
      <c r="F32" s="19"/>
      <c r="G32" s="19"/>
      <c r="H32" s="19"/>
      <c r="I32" s="19"/>
      <c r="J32" s="37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79"/>
      <c r="AH32" s="79"/>
      <c r="AI32" s="79"/>
      <c r="AJ32" s="21">
        <f t="shared" si="3"/>
        <v>0</v>
      </c>
    </row>
    <row r="33" spans="1:36" ht="21" customHeight="1" x14ac:dyDescent="0.25">
      <c r="A33" s="20"/>
      <c r="B33" s="220"/>
      <c r="C33" s="183" t="s">
        <v>111</v>
      </c>
      <c r="D33" s="185"/>
      <c r="E33" s="37"/>
      <c r="F33" s="19"/>
      <c r="G33" s="19"/>
      <c r="H33" s="19"/>
      <c r="I33" s="19"/>
      <c r="J33" s="37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79"/>
      <c r="AH33" s="79"/>
      <c r="AI33" s="79"/>
      <c r="AJ33" s="21">
        <f t="shared" si="3"/>
        <v>0</v>
      </c>
    </row>
    <row r="34" spans="1:36" ht="21" customHeight="1" thickBot="1" x14ac:dyDescent="0.3">
      <c r="A34" s="31"/>
      <c r="B34" s="221"/>
      <c r="C34" s="222" t="s">
        <v>112</v>
      </c>
      <c r="D34" s="223"/>
      <c r="E34" s="39"/>
      <c r="F34" s="22"/>
      <c r="G34" s="22"/>
      <c r="H34" s="22"/>
      <c r="I34" s="22"/>
      <c r="J34" s="39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80"/>
      <c r="AH34" s="80"/>
      <c r="AI34" s="80"/>
      <c r="AJ34" s="24">
        <f t="shared" si="3"/>
        <v>0</v>
      </c>
    </row>
    <row r="35" spans="1:36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42"/>
      <c r="F35" s="30"/>
      <c r="G35" s="30"/>
      <c r="H35" s="30"/>
      <c r="I35" s="30"/>
      <c r="J35" s="42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83"/>
      <c r="AH35" s="83"/>
      <c r="AI35" s="83"/>
      <c r="AJ35" s="84">
        <f t="shared" si="3"/>
        <v>0</v>
      </c>
    </row>
    <row r="36" spans="1:36" ht="21" customHeight="1" x14ac:dyDescent="0.25">
      <c r="A36" s="206"/>
      <c r="B36" s="220"/>
      <c r="C36" s="183" t="s">
        <v>102</v>
      </c>
      <c r="D36" s="185"/>
      <c r="E36" s="37"/>
      <c r="F36" s="19"/>
      <c r="G36" s="19"/>
      <c r="H36" s="19"/>
      <c r="I36" s="19"/>
      <c r="J36" s="37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79"/>
      <c r="AH36" s="79"/>
      <c r="AI36" s="79"/>
      <c r="AJ36" s="21">
        <f t="shared" si="3"/>
        <v>0</v>
      </c>
    </row>
    <row r="37" spans="1:36" ht="21" customHeight="1" thickBot="1" x14ac:dyDescent="0.3">
      <c r="A37" s="187"/>
      <c r="B37" s="221"/>
      <c r="C37" s="222" t="s">
        <v>103</v>
      </c>
      <c r="D37" s="223"/>
      <c r="E37" s="39"/>
      <c r="F37" s="22"/>
      <c r="G37" s="22"/>
      <c r="H37" s="22"/>
      <c r="I37" s="22"/>
      <c r="J37" s="39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80"/>
      <c r="AH37" s="80"/>
      <c r="AI37" s="80"/>
      <c r="AJ37" s="24">
        <f t="shared" si="3"/>
        <v>0</v>
      </c>
    </row>
    <row r="38" spans="1:36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42"/>
      <c r="F38" s="30"/>
      <c r="G38" s="30"/>
      <c r="H38" s="30"/>
      <c r="I38" s="30"/>
      <c r="J38" s="42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83"/>
      <c r="AH38" s="83"/>
      <c r="AI38" s="83"/>
      <c r="AJ38" s="84">
        <f t="shared" si="3"/>
        <v>0</v>
      </c>
    </row>
    <row r="39" spans="1:36" ht="21" customHeight="1" x14ac:dyDescent="0.25">
      <c r="A39" s="206"/>
      <c r="B39" s="220"/>
      <c r="C39" s="183" t="s">
        <v>102</v>
      </c>
      <c r="D39" s="185"/>
      <c r="E39" s="37"/>
      <c r="F39" s="19"/>
      <c r="G39" s="19"/>
      <c r="H39" s="19"/>
      <c r="I39" s="19"/>
      <c r="J39" s="37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9"/>
      <c r="AH39" s="79"/>
      <c r="AI39" s="79"/>
      <c r="AJ39" s="21">
        <f t="shared" si="3"/>
        <v>0</v>
      </c>
    </row>
    <row r="40" spans="1:36" ht="21" customHeight="1" thickBot="1" x14ac:dyDescent="0.3">
      <c r="A40" s="187"/>
      <c r="B40" s="221"/>
      <c r="C40" s="222" t="s">
        <v>103</v>
      </c>
      <c r="D40" s="223"/>
      <c r="E40" s="39"/>
      <c r="F40" s="22"/>
      <c r="G40" s="22"/>
      <c r="H40" s="22"/>
      <c r="I40" s="22"/>
      <c r="J40" s="39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85"/>
      <c r="AH40" s="85"/>
      <c r="AI40" s="85"/>
      <c r="AJ40" s="86">
        <f t="shared" si="3"/>
        <v>0</v>
      </c>
    </row>
    <row r="41" spans="1:36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8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5"/>
      <c r="AI41" s="236"/>
      <c r="AJ41" s="33">
        <f>SUM(AJ12:AJ40)</f>
        <v>0</v>
      </c>
    </row>
    <row r="42" spans="1:36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8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spans="1:36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8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  <c r="AJ43" s="17"/>
    </row>
    <row r="44" spans="1:36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8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</row>
    <row r="45" spans="1:36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8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6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8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6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8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6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8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</row>
    <row r="49" spans="1:36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8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</row>
    <row r="50" spans="1:36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8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8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8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8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8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8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1:36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8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</row>
    <row r="57" spans="1:36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8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</row>
    <row r="58" spans="1:36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8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</row>
    <row r="59" spans="1:36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8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1:36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8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</row>
    <row r="61" spans="1:36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8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</row>
    <row r="62" spans="1:36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8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1:36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8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 spans="1:36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8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 spans="1:36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8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 spans="1:36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8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</row>
    <row r="67" spans="1:36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8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</row>
    <row r="68" spans="1:36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8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</row>
    <row r="69" spans="1:36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8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</row>
    <row r="70" spans="1:36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8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 spans="1:36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8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</row>
    <row r="72" spans="1:36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8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</row>
    <row r="73" spans="1:36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8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</row>
    <row r="74" spans="1:36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8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</row>
    <row r="75" spans="1:36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8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</row>
    <row r="76" spans="1:36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8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</row>
    <row r="77" spans="1:36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8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</row>
    <row r="78" spans="1:36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8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</row>
    <row r="79" spans="1:36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8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</row>
    <row r="80" spans="1:36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8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</row>
    <row r="81" spans="1:36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8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</row>
    <row r="82" spans="1:36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8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</row>
    <row r="83" spans="1:36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8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</row>
    <row r="84" spans="1:36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8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</row>
    <row r="85" spans="1:36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8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</row>
    <row r="86" spans="1:36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8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</row>
    <row r="87" spans="1:36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8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</row>
    <row r="88" spans="1:36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8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</row>
    <row r="89" spans="1:36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8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</row>
    <row r="90" spans="1:36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8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</row>
    <row r="91" spans="1:36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8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</row>
    <row r="92" spans="1:36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8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</row>
    <row r="93" spans="1:36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8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</row>
    <row r="94" spans="1:36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8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</row>
    <row r="95" spans="1:36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8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</row>
    <row r="96" spans="1:36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8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</row>
    <row r="97" spans="1:36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8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</row>
    <row r="98" spans="1:36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8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</row>
    <row r="99" spans="1:36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8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</row>
    <row r="100" spans="1:36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8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B8:D8"/>
    <mergeCell ref="B9:D9"/>
    <mergeCell ref="A10:A11"/>
    <mergeCell ref="B10:C11"/>
    <mergeCell ref="B12:D12"/>
  </mergeCells>
  <pageMargins left="0.43307086614173229" right="0.39370078740157483" top="0.31496062992125984" bottom="0.31496062992125984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1000"/>
  <sheetViews>
    <sheetView showGridLines="0" workbookViewId="0">
      <selection activeCell="E8" sqref="E8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32.85546875" customWidth="1"/>
    <col min="5" max="5" width="5.28515625" customWidth="1"/>
    <col min="6" max="35" width="4.7109375" customWidth="1"/>
  </cols>
  <sheetData>
    <row r="1" spans="1:35" ht="12.75" customHeight="1" x14ac:dyDescent="0.25">
      <c r="A1" s="17"/>
      <c r="B1" s="17"/>
      <c r="C1" s="17"/>
      <c r="D1" s="17"/>
      <c r="E1" s="17"/>
      <c r="F1" s="17"/>
      <c r="G1" s="17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87"/>
      <c r="AG1" s="17"/>
      <c r="AH1" s="17"/>
      <c r="AI1" s="17"/>
    </row>
    <row r="2" spans="1:35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17"/>
      <c r="H2" s="17"/>
      <c r="I2" s="17"/>
      <c r="J2" s="8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87"/>
      <c r="AG2" s="17"/>
      <c r="AH2" s="17"/>
      <c r="AI2" s="17"/>
    </row>
    <row r="3" spans="1:35" ht="12.75" customHeight="1" x14ac:dyDescent="0.25">
      <c r="A3" s="195" t="s">
        <v>82</v>
      </c>
      <c r="B3" s="196"/>
      <c r="C3" s="196"/>
      <c r="D3" s="196"/>
      <c r="E3" s="17"/>
      <c r="F3" s="17"/>
      <c r="G3" s="17"/>
      <c r="H3" s="17"/>
      <c r="I3" s="17"/>
      <c r="J3" s="8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87"/>
      <c r="AG3" s="17"/>
      <c r="AH3" s="17"/>
      <c r="AI3" s="17"/>
    </row>
    <row r="4" spans="1:35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8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87"/>
      <c r="AG4" s="17"/>
      <c r="AH4" s="17"/>
      <c r="AI4" s="17"/>
    </row>
    <row r="5" spans="1:35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44"/>
      <c r="AI5" s="242" t="s">
        <v>86</v>
      </c>
    </row>
    <row r="6" spans="1:35" ht="16.5" customHeight="1" x14ac:dyDescent="0.25">
      <c r="A6" s="206"/>
      <c r="B6" s="211"/>
      <c r="C6" s="196"/>
      <c r="D6" s="212"/>
      <c r="E6" s="103">
        <f>+March!AI6+1</f>
        <v>46113</v>
      </c>
      <c r="F6" s="103">
        <f>+E6+1</f>
        <v>46114</v>
      </c>
      <c r="G6" s="103">
        <f t="shared" ref="G6:AH6" si="0">+F6+1</f>
        <v>46115</v>
      </c>
      <c r="H6" s="103">
        <f t="shared" si="0"/>
        <v>46116</v>
      </c>
      <c r="I6" s="122">
        <f t="shared" si="0"/>
        <v>46117</v>
      </c>
      <c r="J6" s="122">
        <f t="shared" si="0"/>
        <v>46118</v>
      </c>
      <c r="K6" s="103">
        <f t="shared" si="0"/>
        <v>46119</v>
      </c>
      <c r="L6" s="103">
        <f t="shared" si="0"/>
        <v>46120</v>
      </c>
      <c r="M6" s="103">
        <f t="shared" si="0"/>
        <v>46121</v>
      </c>
      <c r="N6" s="103">
        <f t="shared" si="0"/>
        <v>46122</v>
      </c>
      <c r="O6" s="103">
        <f t="shared" si="0"/>
        <v>46123</v>
      </c>
      <c r="P6" s="103">
        <f t="shared" si="0"/>
        <v>46124</v>
      </c>
      <c r="Q6" s="103">
        <f t="shared" si="0"/>
        <v>46125</v>
      </c>
      <c r="R6" s="103">
        <f t="shared" si="0"/>
        <v>46126</v>
      </c>
      <c r="S6" s="103">
        <f t="shared" si="0"/>
        <v>46127</v>
      </c>
      <c r="T6" s="103">
        <f t="shared" si="0"/>
        <v>46128</v>
      </c>
      <c r="U6" s="103">
        <f t="shared" si="0"/>
        <v>46129</v>
      </c>
      <c r="V6" s="103">
        <f t="shared" si="0"/>
        <v>46130</v>
      </c>
      <c r="W6" s="103">
        <f t="shared" si="0"/>
        <v>46131</v>
      </c>
      <c r="X6" s="103">
        <f t="shared" si="0"/>
        <v>46132</v>
      </c>
      <c r="Y6" s="103">
        <f t="shared" si="0"/>
        <v>46133</v>
      </c>
      <c r="Z6" s="103">
        <f t="shared" si="0"/>
        <v>46134</v>
      </c>
      <c r="AA6" s="103">
        <f t="shared" si="0"/>
        <v>46135</v>
      </c>
      <c r="AB6" s="103">
        <f t="shared" si="0"/>
        <v>46136</v>
      </c>
      <c r="AC6" s="103">
        <f t="shared" si="0"/>
        <v>46137</v>
      </c>
      <c r="AD6" s="103">
        <f t="shared" si="0"/>
        <v>46138</v>
      </c>
      <c r="AE6" s="103">
        <f t="shared" si="0"/>
        <v>46139</v>
      </c>
      <c r="AF6" s="103">
        <f t="shared" si="0"/>
        <v>46140</v>
      </c>
      <c r="AG6" s="103">
        <f t="shared" si="0"/>
        <v>46141</v>
      </c>
      <c r="AH6" s="103">
        <f t="shared" si="0"/>
        <v>46142</v>
      </c>
      <c r="AI6" s="198"/>
    </row>
    <row r="7" spans="1:35" ht="16.5" customHeight="1" x14ac:dyDescent="0.25">
      <c r="A7" s="207"/>
      <c r="B7" s="213"/>
      <c r="C7" s="214"/>
      <c r="D7" s="215"/>
      <c r="E7" s="121" t="s">
        <v>129</v>
      </c>
      <c r="F7" s="19" t="str">
        <f t="shared" ref="F7:AH7" si="1">IF(E7="Mon","Tue",IF(E7="Tue","Wed",IF(E7="Wed","Thu",IF(E7="Thu","Fri",IF(E7="Fri","Sat",IF(E7="Sat","Sun",IF(E7="Sun","Mon")))))))</f>
        <v>Thu</v>
      </c>
      <c r="G7" s="19" t="str">
        <f t="shared" si="1"/>
        <v>Fri</v>
      </c>
      <c r="H7" s="68" t="str">
        <f t="shared" si="1"/>
        <v>Sat</v>
      </c>
      <c r="I7" s="126" t="str">
        <f t="shared" si="1"/>
        <v>Sun</v>
      </c>
      <c r="J7" s="147" t="str">
        <f t="shared" si="1"/>
        <v>Mon</v>
      </c>
      <c r="K7" s="19" t="str">
        <f t="shared" si="1"/>
        <v>Tue</v>
      </c>
      <c r="L7" s="19" t="str">
        <f t="shared" si="1"/>
        <v>Wed</v>
      </c>
      <c r="M7" s="19" t="str">
        <f t="shared" si="1"/>
        <v>Thu</v>
      </c>
      <c r="N7" s="19" t="str">
        <f t="shared" si="1"/>
        <v>Fri</v>
      </c>
      <c r="O7" s="19" t="str">
        <f t="shared" si="1"/>
        <v>Sat</v>
      </c>
      <c r="P7" s="43" t="str">
        <f t="shared" si="1"/>
        <v>Sun</v>
      </c>
      <c r="Q7" s="43" t="str">
        <f t="shared" si="1"/>
        <v>Mon</v>
      </c>
      <c r="R7" s="19" t="str">
        <f t="shared" si="1"/>
        <v>Tue</v>
      </c>
      <c r="S7" s="19" t="str">
        <f t="shared" si="1"/>
        <v>Wed</v>
      </c>
      <c r="T7" s="19" t="str">
        <f t="shared" si="1"/>
        <v>Thu</v>
      </c>
      <c r="U7" s="19" t="str">
        <f t="shared" si="1"/>
        <v>Fri</v>
      </c>
      <c r="V7" s="19" t="str">
        <f t="shared" si="1"/>
        <v>Sat</v>
      </c>
      <c r="W7" s="19" t="str">
        <f t="shared" si="1"/>
        <v>Sun</v>
      </c>
      <c r="X7" s="19" t="str">
        <f t="shared" si="1"/>
        <v>Mon</v>
      </c>
      <c r="Y7" s="19" t="str">
        <f t="shared" si="1"/>
        <v>Tue</v>
      </c>
      <c r="Z7" s="19" t="str">
        <f t="shared" si="1"/>
        <v>Wed</v>
      </c>
      <c r="AA7" s="19" t="str">
        <f t="shared" si="1"/>
        <v>Thu</v>
      </c>
      <c r="AB7" s="19" t="str">
        <f t="shared" si="1"/>
        <v>Fri</v>
      </c>
      <c r="AC7" s="19" t="str">
        <f t="shared" si="1"/>
        <v>Sat</v>
      </c>
      <c r="AD7" s="19" t="str">
        <f t="shared" si="1"/>
        <v>Sun</v>
      </c>
      <c r="AE7" s="19" t="str">
        <f t="shared" si="1"/>
        <v>Mon</v>
      </c>
      <c r="AF7" s="37" t="str">
        <f t="shared" si="1"/>
        <v>Tue</v>
      </c>
      <c r="AG7" s="19" t="str">
        <f t="shared" si="1"/>
        <v>Wed</v>
      </c>
      <c r="AH7" s="79" t="str">
        <f t="shared" si="1"/>
        <v>Thu</v>
      </c>
      <c r="AI7" s="199"/>
    </row>
    <row r="8" spans="1:35" ht="21" customHeight="1" x14ac:dyDescent="0.25">
      <c r="A8" s="20" t="s">
        <v>30</v>
      </c>
      <c r="B8" s="183" t="s">
        <v>90</v>
      </c>
      <c r="C8" s="184"/>
      <c r="D8" s="185"/>
      <c r="E8" s="19"/>
      <c r="F8" s="19"/>
      <c r="G8" s="19"/>
      <c r="H8" s="19"/>
      <c r="I8" s="123"/>
      <c r="J8" s="123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38" t="s">
        <v>31</v>
      </c>
    </row>
    <row r="9" spans="1:35" ht="21" customHeight="1" x14ac:dyDescent="0.25">
      <c r="A9" s="20" t="s">
        <v>32</v>
      </c>
      <c r="B9" s="183" t="s">
        <v>91</v>
      </c>
      <c r="C9" s="184"/>
      <c r="D9" s="185"/>
      <c r="E9" s="19"/>
      <c r="F9" s="19"/>
      <c r="G9" s="19"/>
      <c r="H9" s="19"/>
      <c r="I9" s="123"/>
      <c r="J9" s="123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38" t="s">
        <v>31</v>
      </c>
    </row>
    <row r="10" spans="1:35" ht="21" customHeight="1" x14ac:dyDescent="0.25">
      <c r="A10" s="186" t="s">
        <v>33</v>
      </c>
      <c r="B10" s="238" t="s">
        <v>93</v>
      </c>
      <c r="C10" s="239"/>
      <c r="D10" s="19" t="s">
        <v>88</v>
      </c>
      <c r="E10" s="19"/>
      <c r="F10" s="19"/>
      <c r="G10" s="19"/>
      <c r="H10" s="68"/>
      <c r="I10" s="126"/>
      <c r="J10" s="147"/>
      <c r="K10" s="19"/>
      <c r="L10" s="19"/>
      <c r="M10" s="19"/>
      <c r="N10" s="19"/>
      <c r="O10" s="19"/>
      <c r="P10" s="43"/>
      <c r="Q10" s="43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37"/>
      <c r="AF10" s="37"/>
      <c r="AG10" s="79"/>
      <c r="AH10" s="79"/>
      <c r="AI10" s="38" t="s">
        <v>31</v>
      </c>
    </row>
    <row r="11" spans="1:35" ht="21" customHeight="1" x14ac:dyDescent="0.25">
      <c r="A11" s="187"/>
      <c r="B11" s="240"/>
      <c r="C11" s="241"/>
      <c r="D11" s="22" t="s">
        <v>89</v>
      </c>
      <c r="E11" s="22"/>
      <c r="F11" s="22"/>
      <c r="G11" s="22"/>
      <c r="H11" s="69"/>
      <c r="I11" s="129"/>
      <c r="J11" s="148"/>
      <c r="K11" s="22"/>
      <c r="L11" s="22"/>
      <c r="M11" s="22"/>
      <c r="N11" s="22"/>
      <c r="O11" s="22"/>
      <c r="P11" s="44"/>
      <c r="Q11" s="44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39"/>
      <c r="AF11" s="39"/>
      <c r="AG11" s="80"/>
      <c r="AH11" s="80"/>
      <c r="AI11" s="40" t="s">
        <v>31</v>
      </c>
    </row>
    <row r="12" spans="1:35" ht="21" customHeight="1" thickTop="1" thickBot="1" x14ac:dyDescent="0.3">
      <c r="A12" s="25" t="s">
        <v>34</v>
      </c>
      <c r="B12" s="192" t="s">
        <v>94</v>
      </c>
      <c r="C12" s="193"/>
      <c r="D12" s="194"/>
      <c r="E12" s="27">
        <f>E9-E8</f>
        <v>0</v>
      </c>
      <c r="F12" s="27">
        <f>F9-F8</f>
        <v>0</v>
      </c>
      <c r="G12" s="27">
        <f t="shared" ref="G12:AH12" si="2">G9-G8</f>
        <v>0</v>
      </c>
      <c r="H12" s="27">
        <f t="shared" si="2"/>
        <v>0</v>
      </c>
      <c r="I12" s="76">
        <f t="shared" si="2"/>
        <v>0</v>
      </c>
      <c r="J12" s="76">
        <f t="shared" si="2"/>
        <v>0</v>
      </c>
      <c r="K12" s="27">
        <f t="shared" si="2"/>
        <v>0</v>
      </c>
      <c r="L12" s="27">
        <f t="shared" si="2"/>
        <v>0</v>
      </c>
      <c r="M12" s="27">
        <f t="shared" si="2"/>
        <v>0</v>
      </c>
      <c r="N12" s="27">
        <f t="shared" si="2"/>
        <v>0</v>
      </c>
      <c r="O12" s="27">
        <f t="shared" si="2"/>
        <v>0</v>
      </c>
      <c r="P12" s="27">
        <f t="shared" si="2"/>
        <v>0</v>
      </c>
      <c r="Q12" s="27">
        <f t="shared" si="2"/>
        <v>0</v>
      </c>
      <c r="R12" s="27">
        <f t="shared" si="2"/>
        <v>0</v>
      </c>
      <c r="S12" s="27">
        <f t="shared" si="2"/>
        <v>0</v>
      </c>
      <c r="T12" s="27">
        <f t="shared" si="2"/>
        <v>0</v>
      </c>
      <c r="U12" s="27">
        <f t="shared" si="2"/>
        <v>0</v>
      </c>
      <c r="V12" s="27">
        <f t="shared" si="2"/>
        <v>0</v>
      </c>
      <c r="W12" s="27">
        <f t="shared" si="2"/>
        <v>0</v>
      </c>
      <c r="X12" s="27">
        <f t="shared" si="2"/>
        <v>0</v>
      </c>
      <c r="Y12" s="27">
        <f t="shared" si="2"/>
        <v>0</v>
      </c>
      <c r="Z12" s="27">
        <f t="shared" si="2"/>
        <v>0</v>
      </c>
      <c r="AA12" s="27">
        <f t="shared" si="2"/>
        <v>0</v>
      </c>
      <c r="AB12" s="27">
        <f t="shared" si="2"/>
        <v>0</v>
      </c>
      <c r="AC12" s="27">
        <f t="shared" si="2"/>
        <v>0</v>
      </c>
      <c r="AD12" s="27">
        <f t="shared" si="2"/>
        <v>0</v>
      </c>
      <c r="AE12" s="27">
        <f t="shared" si="2"/>
        <v>0</v>
      </c>
      <c r="AF12" s="27">
        <f t="shared" si="2"/>
        <v>0</v>
      </c>
      <c r="AG12" s="27">
        <f t="shared" si="2"/>
        <v>0</v>
      </c>
      <c r="AH12" s="27">
        <f t="shared" si="2"/>
        <v>0</v>
      </c>
      <c r="AI12" s="88">
        <f t="shared" ref="AI12:AI40" si="3">SUM(E12:AH12)</f>
        <v>0</v>
      </c>
    </row>
    <row r="13" spans="1:35" ht="21" customHeight="1" thickTop="1" x14ac:dyDescent="0.25">
      <c r="A13" s="28" t="s">
        <v>35</v>
      </c>
      <c r="B13" s="216" t="s">
        <v>80</v>
      </c>
      <c r="C13" s="231"/>
      <c r="D13" s="217"/>
      <c r="E13" s="30"/>
      <c r="F13" s="30"/>
      <c r="G13" s="30"/>
      <c r="H13" s="71"/>
      <c r="I13" s="149"/>
      <c r="J13" s="150"/>
      <c r="K13" s="30"/>
      <c r="L13" s="30"/>
      <c r="M13" s="30"/>
      <c r="N13" s="30"/>
      <c r="O13" s="30"/>
      <c r="P13" s="45"/>
      <c r="Q13" s="45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42"/>
      <c r="AF13" s="42"/>
      <c r="AG13" s="83"/>
      <c r="AH13" s="83"/>
      <c r="AI13" s="89">
        <f t="shared" si="3"/>
        <v>0</v>
      </c>
    </row>
    <row r="14" spans="1:35" ht="21" customHeight="1" x14ac:dyDescent="0.25">
      <c r="A14" s="20" t="s">
        <v>36</v>
      </c>
      <c r="B14" s="183" t="s">
        <v>95</v>
      </c>
      <c r="C14" s="184"/>
      <c r="D14" s="185"/>
      <c r="E14" s="19"/>
      <c r="F14" s="19"/>
      <c r="G14" s="19"/>
      <c r="H14" s="68"/>
      <c r="I14" s="126"/>
      <c r="J14" s="147"/>
      <c r="K14" s="19"/>
      <c r="L14" s="19"/>
      <c r="M14" s="19"/>
      <c r="N14" s="19"/>
      <c r="O14" s="19"/>
      <c r="P14" s="43"/>
      <c r="Q14" s="43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37"/>
      <c r="AF14" s="37"/>
      <c r="AG14" s="79"/>
      <c r="AH14" s="79"/>
      <c r="AI14" s="38">
        <f t="shared" si="3"/>
        <v>0</v>
      </c>
    </row>
    <row r="15" spans="1:35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19"/>
      <c r="F15" s="19"/>
      <c r="G15" s="19"/>
      <c r="H15" s="68"/>
      <c r="I15" s="126"/>
      <c r="J15" s="147"/>
      <c r="K15" s="19"/>
      <c r="L15" s="19"/>
      <c r="M15" s="19"/>
      <c r="N15" s="19"/>
      <c r="O15" s="19"/>
      <c r="P15" s="43"/>
      <c r="Q15" s="43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37"/>
      <c r="AF15" s="37"/>
      <c r="AG15" s="79"/>
      <c r="AH15" s="79"/>
      <c r="AI15" s="38">
        <f t="shared" si="3"/>
        <v>0</v>
      </c>
    </row>
    <row r="16" spans="1:35" ht="21" customHeight="1" x14ac:dyDescent="0.25">
      <c r="A16" s="20"/>
      <c r="B16" s="220"/>
      <c r="C16" s="220"/>
      <c r="D16" s="140" t="s">
        <v>97</v>
      </c>
      <c r="E16" s="19"/>
      <c r="F16" s="19"/>
      <c r="G16" s="19"/>
      <c r="H16" s="68"/>
      <c r="I16" s="126"/>
      <c r="J16" s="147"/>
      <c r="K16" s="19"/>
      <c r="L16" s="19"/>
      <c r="M16" s="19"/>
      <c r="N16" s="19"/>
      <c r="O16" s="19"/>
      <c r="P16" s="43"/>
      <c r="Q16" s="43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37"/>
      <c r="AF16" s="37"/>
      <c r="AG16" s="79"/>
      <c r="AH16" s="79"/>
      <c r="AI16" s="38">
        <f t="shared" si="3"/>
        <v>0</v>
      </c>
    </row>
    <row r="17" spans="1:35" ht="21" customHeight="1" x14ac:dyDescent="0.25">
      <c r="A17" s="20"/>
      <c r="B17" s="220"/>
      <c r="C17" s="232"/>
      <c r="D17" s="140" t="s">
        <v>98</v>
      </c>
      <c r="E17" s="19"/>
      <c r="F17" s="19"/>
      <c r="G17" s="19"/>
      <c r="H17" s="68"/>
      <c r="I17" s="126"/>
      <c r="J17" s="147"/>
      <c r="K17" s="19"/>
      <c r="L17" s="19"/>
      <c r="M17" s="19"/>
      <c r="N17" s="19"/>
      <c r="O17" s="19"/>
      <c r="P17" s="43"/>
      <c r="Q17" s="43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37"/>
      <c r="AF17" s="37"/>
      <c r="AG17" s="79"/>
      <c r="AH17" s="79"/>
      <c r="AI17" s="38">
        <f t="shared" si="3"/>
        <v>0</v>
      </c>
    </row>
    <row r="18" spans="1:35" ht="21" customHeight="1" x14ac:dyDescent="0.25">
      <c r="A18" s="20"/>
      <c r="B18" s="220"/>
      <c r="C18" s="183" t="s">
        <v>100</v>
      </c>
      <c r="D18" s="185"/>
      <c r="E18" s="19"/>
      <c r="F18" s="19"/>
      <c r="G18" s="19"/>
      <c r="H18" s="68"/>
      <c r="I18" s="126"/>
      <c r="J18" s="147">
        <v>8</v>
      </c>
      <c r="K18" s="19"/>
      <c r="L18" s="19"/>
      <c r="M18" s="19"/>
      <c r="N18" s="19"/>
      <c r="O18" s="19"/>
      <c r="P18" s="43"/>
      <c r="Q18" s="43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37"/>
      <c r="AF18" s="37"/>
      <c r="AG18" s="79"/>
      <c r="AH18" s="79"/>
      <c r="AI18" s="38">
        <f t="shared" si="3"/>
        <v>8</v>
      </c>
    </row>
    <row r="19" spans="1:35" ht="30" customHeight="1" x14ac:dyDescent="0.25">
      <c r="A19" s="20"/>
      <c r="B19" s="220"/>
      <c r="C19" s="224" t="s">
        <v>105</v>
      </c>
      <c r="D19" s="185"/>
      <c r="E19" s="19"/>
      <c r="F19" s="19"/>
      <c r="G19" s="19"/>
      <c r="H19" s="68"/>
      <c r="I19" s="126"/>
      <c r="J19" s="147"/>
      <c r="K19" s="19"/>
      <c r="L19" s="19"/>
      <c r="M19" s="19"/>
      <c r="N19" s="19"/>
      <c r="O19" s="19"/>
      <c r="P19" s="43"/>
      <c r="Q19" s="43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37"/>
      <c r="AF19" s="37"/>
      <c r="AG19" s="79"/>
      <c r="AH19" s="79"/>
      <c r="AI19" s="38">
        <f t="shared" si="3"/>
        <v>0</v>
      </c>
    </row>
    <row r="20" spans="1:35" ht="21" customHeight="1" x14ac:dyDescent="0.25">
      <c r="A20" s="20"/>
      <c r="B20" s="220"/>
      <c r="C20" s="183" t="s">
        <v>106</v>
      </c>
      <c r="D20" s="185"/>
      <c r="E20" s="19"/>
      <c r="F20" s="19"/>
      <c r="G20" s="19"/>
      <c r="H20" s="68"/>
      <c r="I20" s="126"/>
      <c r="J20" s="147"/>
      <c r="K20" s="19"/>
      <c r="L20" s="19"/>
      <c r="M20" s="19"/>
      <c r="N20" s="19"/>
      <c r="O20" s="19"/>
      <c r="P20" s="43"/>
      <c r="Q20" s="43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37"/>
      <c r="AF20" s="37"/>
      <c r="AG20" s="79"/>
      <c r="AH20" s="79"/>
      <c r="AI20" s="38">
        <f t="shared" si="3"/>
        <v>0</v>
      </c>
    </row>
    <row r="21" spans="1:35" ht="21" customHeight="1" x14ac:dyDescent="0.25">
      <c r="A21" s="20"/>
      <c r="B21" s="220"/>
      <c r="C21" s="183" t="s">
        <v>107</v>
      </c>
      <c r="D21" s="185"/>
      <c r="E21" s="19"/>
      <c r="F21" s="19"/>
      <c r="G21" s="19"/>
      <c r="H21" s="68"/>
      <c r="I21" s="126"/>
      <c r="J21" s="147"/>
      <c r="K21" s="19"/>
      <c r="L21" s="19"/>
      <c r="M21" s="19"/>
      <c r="N21" s="19"/>
      <c r="O21" s="19"/>
      <c r="P21" s="43"/>
      <c r="Q21" s="43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37"/>
      <c r="AF21" s="37"/>
      <c r="AG21" s="79"/>
      <c r="AH21" s="79"/>
      <c r="AI21" s="38">
        <f t="shared" si="3"/>
        <v>0</v>
      </c>
    </row>
    <row r="22" spans="1:35" ht="21" customHeight="1" x14ac:dyDescent="0.25">
      <c r="A22" s="20"/>
      <c r="B22" s="220"/>
      <c r="C22" s="183" t="s">
        <v>108</v>
      </c>
      <c r="D22" s="185"/>
      <c r="E22" s="19"/>
      <c r="F22" s="19"/>
      <c r="G22" s="19"/>
      <c r="H22" s="68"/>
      <c r="I22" s="126"/>
      <c r="J22" s="147"/>
      <c r="K22" s="19"/>
      <c r="L22" s="19"/>
      <c r="M22" s="19"/>
      <c r="N22" s="19"/>
      <c r="O22" s="19"/>
      <c r="P22" s="43"/>
      <c r="Q22" s="43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37"/>
      <c r="AF22" s="37"/>
      <c r="AG22" s="79"/>
      <c r="AH22" s="79"/>
      <c r="AI22" s="38">
        <f t="shared" si="3"/>
        <v>0</v>
      </c>
    </row>
    <row r="23" spans="1:35" ht="21" customHeight="1" x14ac:dyDescent="0.25">
      <c r="A23" s="20"/>
      <c r="B23" s="220"/>
      <c r="C23" s="229" t="s">
        <v>122</v>
      </c>
      <c r="D23" s="230"/>
      <c r="E23" s="19"/>
      <c r="F23" s="19"/>
      <c r="G23" s="19"/>
      <c r="H23" s="68"/>
      <c r="I23" s="126"/>
      <c r="J23" s="147"/>
      <c r="K23" s="19"/>
      <c r="L23" s="19"/>
      <c r="M23" s="19"/>
      <c r="N23" s="19"/>
      <c r="O23" s="19"/>
      <c r="P23" s="43"/>
      <c r="Q23" s="43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37"/>
      <c r="AF23" s="37"/>
      <c r="AG23" s="79"/>
      <c r="AH23" s="79"/>
      <c r="AI23" s="38">
        <f t="shared" si="3"/>
        <v>0</v>
      </c>
    </row>
    <row r="24" spans="1:35" ht="21" customHeight="1" x14ac:dyDescent="0.25">
      <c r="A24" s="20"/>
      <c r="B24" s="220"/>
      <c r="C24" s="183" t="s">
        <v>113</v>
      </c>
      <c r="D24" s="185"/>
      <c r="E24" s="19"/>
      <c r="F24" s="19"/>
      <c r="G24" s="19"/>
      <c r="H24" s="68"/>
      <c r="I24" s="126"/>
      <c r="J24" s="147"/>
      <c r="K24" s="19"/>
      <c r="L24" s="19"/>
      <c r="M24" s="19"/>
      <c r="N24" s="19"/>
      <c r="O24" s="19"/>
      <c r="P24" s="43"/>
      <c r="Q24" s="4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37"/>
      <c r="AF24" s="37"/>
      <c r="AG24" s="79"/>
      <c r="AH24" s="79"/>
      <c r="AI24" s="38">
        <f t="shared" si="3"/>
        <v>0</v>
      </c>
    </row>
    <row r="25" spans="1:35" ht="30" customHeight="1" x14ac:dyDescent="0.25">
      <c r="A25" s="20"/>
      <c r="B25" s="220"/>
      <c r="C25" s="224" t="s">
        <v>114</v>
      </c>
      <c r="D25" s="185"/>
      <c r="E25" s="19"/>
      <c r="F25" s="19"/>
      <c r="G25" s="19"/>
      <c r="H25" s="68"/>
      <c r="I25" s="126"/>
      <c r="J25" s="147"/>
      <c r="K25" s="19"/>
      <c r="L25" s="19"/>
      <c r="M25" s="19"/>
      <c r="N25" s="19"/>
      <c r="O25" s="19"/>
      <c r="P25" s="43"/>
      <c r="Q25" s="43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37"/>
      <c r="AF25" s="37"/>
      <c r="AG25" s="79"/>
      <c r="AH25" s="79"/>
      <c r="AI25" s="38">
        <f t="shared" si="3"/>
        <v>0</v>
      </c>
    </row>
    <row r="26" spans="1:35" ht="21" customHeight="1" x14ac:dyDescent="0.25">
      <c r="A26" s="20"/>
      <c r="B26" s="220"/>
      <c r="C26" s="183" t="s">
        <v>115</v>
      </c>
      <c r="D26" s="185"/>
      <c r="E26" s="19"/>
      <c r="F26" s="19"/>
      <c r="G26" s="19"/>
      <c r="H26" s="68"/>
      <c r="I26" s="126"/>
      <c r="J26" s="147"/>
      <c r="K26" s="19"/>
      <c r="L26" s="19"/>
      <c r="M26" s="19"/>
      <c r="N26" s="19"/>
      <c r="O26" s="19"/>
      <c r="P26" s="43"/>
      <c r="Q26" s="4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37"/>
      <c r="AF26" s="37"/>
      <c r="AG26" s="79"/>
      <c r="AH26" s="79"/>
      <c r="AI26" s="38">
        <f t="shared" si="3"/>
        <v>0</v>
      </c>
    </row>
    <row r="27" spans="1:35" ht="21" customHeight="1" x14ac:dyDescent="0.25">
      <c r="A27" s="20"/>
      <c r="B27" s="220"/>
      <c r="C27" s="183" t="s">
        <v>116</v>
      </c>
      <c r="D27" s="185"/>
      <c r="E27" s="19"/>
      <c r="F27" s="19"/>
      <c r="G27" s="19"/>
      <c r="H27" s="68"/>
      <c r="I27" s="126"/>
      <c r="J27" s="147"/>
      <c r="K27" s="19"/>
      <c r="L27" s="19"/>
      <c r="M27" s="19"/>
      <c r="N27" s="19"/>
      <c r="O27" s="19"/>
      <c r="P27" s="43"/>
      <c r="Q27" s="43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37"/>
      <c r="AF27" s="37"/>
      <c r="AG27" s="79"/>
      <c r="AH27" s="79"/>
      <c r="AI27" s="38">
        <f t="shared" si="3"/>
        <v>0</v>
      </c>
    </row>
    <row r="28" spans="1:35" ht="21" customHeight="1" x14ac:dyDescent="0.25">
      <c r="A28" s="20"/>
      <c r="B28" s="220"/>
      <c r="C28" s="225" t="s">
        <v>121</v>
      </c>
      <c r="D28" s="226"/>
      <c r="E28" s="19"/>
      <c r="F28" s="19"/>
      <c r="G28" s="19"/>
      <c r="H28" s="68"/>
      <c r="I28" s="126"/>
      <c r="J28" s="147"/>
      <c r="K28" s="19"/>
      <c r="L28" s="19"/>
      <c r="M28" s="19"/>
      <c r="N28" s="19"/>
      <c r="O28" s="19"/>
      <c r="P28" s="43"/>
      <c r="Q28" s="43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37"/>
      <c r="AF28" s="37"/>
      <c r="AG28" s="79"/>
      <c r="AH28" s="79"/>
      <c r="AI28" s="38">
        <f t="shared" si="3"/>
        <v>0</v>
      </c>
    </row>
    <row r="29" spans="1:35" ht="21" customHeight="1" x14ac:dyDescent="0.25">
      <c r="A29" s="20"/>
      <c r="B29" s="220"/>
      <c r="C29" s="183" t="s">
        <v>120</v>
      </c>
      <c r="D29" s="228"/>
      <c r="E29" s="19"/>
      <c r="F29" s="19"/>
      <c r="G29" s="19"/>
      <c r="H29" s="68"/>
      <c r="I29" s="126"/>
      <c r="J29" s="147"/>
      <c r="K29" s="19"/>
      <c r="L29" s="19"/>
      <c r="M29" s="19"/>
      <c r="N29" s="19"/>
      <c r="O29" s="19"/>
      <c r="P29" s="43"/>
      <c r="Q29" s="43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37"/>
      <c r="AF29" s="37"/>
      <c r="AG29" s="79"/>
      <c r="AH29" s="79"/>
      <c r="AI29" s="38">
        <f t="shared" si="3"/>
        <v>0</v>
      </c>
    </row>
    <row r="30" spans="1:35" ht="21" customHeight="1" x14ac:dyDescent="0.25">
      <c r="A30" s="20"/>
      <c r="B30" s="220"/>
      <c r="C30" s="183" t="s">
        <v>117</v>
      </c>
      <c r="D30" s="185"/>
      <c r="E30" s="19"/>
      <c r="F30" s="19"/>
      <c r="G30" s="19"/>
      <c r="H30" s="68"/>
      <c r="I30" s="126"/>
      <c r="J30" s="147"/>
      <c r="K30" s="19"/>
      <c r="L30" s="19"/>
      <c r="M30" s="19"/>
      <c r="N30" s="19"/>
      <c r="O30" s="19"/>
      <c r="P30" s="43"/>
      <c r="Q30" s="43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37"/>
      <c r="AF30" s="37"/>
      <c r="AG30" s="79"/>
      <c r="AH30" s="79"/>
      <c r="AI30" s="38">
        <f t="shared" si="3"/>
        <v>0</v>
      </c>
    </row>
    <row r="31" spans="1:35" ht="21" customHeight="1" x14ac:dyDescent="0.25">
      <c r="A31" s="20"/>
      <c r="B31" s="220"/>
      <c r="C31" s="183" t="s">
        <v>118</v>
      </c>
      <c r="D31" s="185"/>
      <c r="E31" s="19"/>
      <c r="F31" s="19"/>
      <c r="G31" s="19"/>
      <c r="H31" s="68"/>
      <c r="I31" s="126"/>
      <c r="J31" s="147"/>
      <c r="K31" s="19"/>
      <c r="L31" s="19"/>
      <c r="M31" s="19"/>
      <c r="N31" s="19"/>
      <c r="O31" s="19"/>
      <c r="P31" s="43"/>
      <c r="Q31" s="43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37"/>
      <c r="AF31" s="37"/>
      <c r="AG31" s="79"/>
      <c r="AH31" s="79"/>
      <c r="AI31" s="38">
        <f t="shared" si="3"/>
        <v>0</v>
      </c>
    </row>
    <row r="32" spans="1:35" ht="21" customHeight="1" x14ac:dyDescent="0.25">
      <c r="A32" s="20"/>
      <c r="B32" s="220"/>
      <c r="C32" s="183" t="s">
        <v>119</v>
      </c>
      <c r="D32" s="228"/>
      <c r="E32" s="19"/>
      <c r="F32" s="19"/>
      <c r="G32" s="19"/>
      <c r="H32" s="68"/>
      <c r="I32" s="126"/>
      <c r="J32" s="147"/>
      <c r="K32" s="19"/>
      <c r="L32" s="19"/>
      <c r="M32" s="19"/>
      <c r="N32" s="19"/>
      <c r="O32" s="19"/>
      <c r="P32" s="43"/>
      <c r="Q32" s="43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37"/>
      <c r="AF32" s="37"/>
      <c r="AG32" s="79"/>
      <c r="AH32" s="79"/>
      <c r="AI32" s="38">
        <f t="shared" si="3"/>
        <v>0</v>
      </c>
    </row>
    <row r="33" spans="1:35" ht="21" customHeight="1" x14ac:dyDescent="0.25">
      <c r="A33" s="20"/>
      <c r="B33" s="220"/>
      <c r="C33" s="183" t="s">
        <v>111</v>
      </c>
      <c r="D33" s="185"/>
      <c r="E33" s="19"/>
      <c r="F33" s="19"/>
      <c r="G33" s="19"/>
      <c r="H33" s="68"/>
      <c r="I33" s="126"/>
      <c r="J33" s="147"/>
      <c r="K33" s="19"/>
      <c r="L33" s="19"/>
      <c r="M33" s="19"/>
      <c r="N33" s="19"/>
      <c r="O33" s="19"/>
      <c r="P33" s="43"/>
      <c r="Q33" s="43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37"/>
      <c r="AF33" s="37"/>
      <c r="AG33" s="79"/>
      <c r="AH33" s="79"/>
      <c r="AI33" s="38">
        <f t="shared" si="3"/>
        <v>0</v>
      </c>
    </row>
    <row r="34" spans="1:35" ht="21" customHeight="1" thickBot="1" x14ac:dyDescent="0.3">
      <c r="A34" s="31"/>
      <c r="B34" s="221"/>
      <c r="C34" s="222" t="s">
        <v>112</v>
      </c>
      <c r="D34" s="223"/>
      <c r="E34" s="22"/>
      <c r="F34" s="22"/>
      <c r="G34" s="22"/>
      <c r="H34" s="69"/>
      <c r="I34" s="129"/>
      <c r="J34" s="148"/>
      <c r="K34" s="22"/>
      <c r="L34" s="22"/>
      <c r="M34" s="22"/>
      <c r="N34" s="22"/>
      <c r="O34" s="22"/>
      <c r="P34" s="44"/>
      <c r="Q34" s="44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39"/>
      <c r="AF34" s="39"/>
      <c r="AG34" s="80"/>
      <c r="AH34" s="80"/>
      <c r="AI34" s="40">
        <f t="shared" si="3"/>
        <v>0</v>
      </c>
    </row>
    <row r="35" spans="1:35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30"/>
      <c r="F35" s="30"/>
      <c r="G35" s="30"/>
      <c r="H35" s="71"/>
      <c r="I35" s="149"/>
      <c r="J35" s="150"/>
      <c r="K35" s="30"/>
      <c r="L35" s="30"/>
      <c r="M35" s="30"/>
      <c r="N35" s="30"/>
      <c r="O35" s="30"/>
      <c r="P35" s="45"/>
      <c r="Q35" s="45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42"/>
      <c r="AF35" s="42"/>
      <c r="AG35" s="83"/>
      <c r="AH35" s="83"/>
      <c r="AI35" s="89">
        <f t="shared" si="3"/>
        <v>0</v>
      </c>
    </row>
    <row r="36" spans="1:35" ht="21" customHeight="1" x14ac:dyDescent="0.25">
      <c r="A36" s="206"/>
      <c r="B36" s="220"/>
      <c r="C36" s="183" t="s">
        <v>102</v>
      </c>
      <c r="D36" s="185"/>
      <c r="E36" s="19"/>
      <c r="F36" s="19"/>
      <c r="G36" s="19"/>
      <c r="H36" s="68"/>
      <c r="I36" s="126"/>
      <c r="J36" s="147"/>
      <c r="K36" s="19"/>
      <c r="L36" s="19"/>
      <c r="M36" s="19"/>
      <c r="N36" s="19"/>
      <c r="O36" s="19"/>
      <c r="P36" s="43"/>
      <c r="Q36" s="43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37"/>
      <c r="AF36" s="37"/>
      <c r="AG36" s="79"/>
      <c r="AH36" s="79"/>
      <c r="AI36" s="38">
        <f t="shared" si="3"/>
        <v>0</v>
      </c>
    </row>
    <row r="37" spans="1:35" ht="21" customHeight="1" thickBot="1" x14ac:dyDescent="0.3">
      <c r="A37" s="187"/>
      <c r="B37" s="221"/>
      <c r="C37" s="222" t="s">
        <v>103</v>
      </c>
      <c r="D37" s="223"/>
      <c r="E37" s="22"/>
      <c r="F37" s="22"/>
      <c r="G37" s="22"/>
      <c r="H37" s="69"/>
      <c r="I37" s="129"/>
      <c r="J37" s="148"/>
      <c r="K37" s="22"/>
      <c r="L37" s="22"/>
      <c r="M37" s="22"/>
      <c r="N37" s="22"/>
      <c r="O37" s="22"/>
      <c r="P37" s="44"/>
      <c r="Q37" s="44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39"/>
      <c r="AF37" s="39"/>
      <c r="AG37" s="80"/>
      <c r="AH37" s="80"/>
      <c r="AI37" s="40">
        <f t="shared" si="3"/>
        <v>0</v>
      </c>
    </row>
    <row r="38" spans="1:35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30"/>
      <c r="F38" s="30"/>
      <c r="G38" s="30"/>
      <c r="H38" s="71"/>
      <c r="I38" s="149"/>
      <c r="J38" s="150"/>
      <c r="K38" s="30"/>
      <c r="L38" s="30"/>
      <c r="M38" s="30"/>
      <c r="N38" s="30"/>
      <c r="O38" s="30"/>
      <c r="P38" s="45"/>
      <c r="Q38" s="45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42"/>
      <c r="AF38" s="42"/>
      <c r="AG38" s="83"/>
      <c r="AH38" s="83"/>
      <c r="AI38" s="89">
        <f t="shared" si="3"/>
        <v>0</v>
      </c>
    </row>
    <row r="39" spans="1:35" ht="21" customHeight="1" x14ac:dyDescent="0.25">
      <c r="A39" s="206"/>
      <c r="B39" s="220"/>
      <c r="C39" s="183" t="s">
        <v>102</v>
      </c>
      <c r="D39" s="185"/>
      <c r="E39" s="19"/>
      <c r="F39" s="19"/>
      <c r="G39" s="19"/>
      <c r="H39" s="68"/>
      <c r="I39" s="126"/>
      <c r="J39" s="147"/>
      <c r="K39" s="19"/>
      <c r="L39" s="19"/>
      <c r="M39" s="19"/>
      <c r="N39" s="19"/>
      <c r="O39" s="19"/>
      <c r="P39" s="43"/>
      <c r="Q39" s="43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37"/>
      <c r="AF39" s="37"/>
      <c r="AG39" s="79"/>
      <c r="AH39" s="79"/>
      <c r="AI39" s="38">
        <f t="shared" si="3"/>
        <v>0</v>
      </c>
    </row>
    <row r="40" spans="1:35" ht="21" customHeight="1" thickBot="1" x14ac:dyDescent="0.3">
      <c r="A40" s="187"/>
      <c r="B40" s="221"/>
      <c r="C40" s="222" t="s">
        <v>103</v>
      </c>
      <c r="D40" s="223"/>
      <c r="E40" s="22"/>
      <c r="F40" s="22"/>
      <c r="G40" s="22"/>
      <c r="H40" s="69"/>
      <c r="I40" s="129"/>
      <c r="J40" s="148"/>
      <c r="K40" s="22"/>
      <c r="L40" s="22"/>
      <c r="M40" s="22"/>
      <c r="N40" s="22"/>
      <c r="O40" s="22"/>
      <c r="P40" s="44"/>
      <c r="Q40" s="44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39"/>
      <c r="AF40" s="39"/>
      <c r="AG40" s="85"/>
      <c r="AH40" s="85"/>
      <c r="AI40" s="90">
        <f t="shared" si="3"/>
        <v>0</v>
      </c>
    </row>
    <row r="41" spans="1:35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8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6"/>
      <c r="AI41" s="33">
        <f>SUM(AI12:AI40)</f>
        <v>8</v>
      </c>
    </row>
    <row r="42" spans="1:35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8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87"/>
      <c r="AG42" s="17"/>
      <c r="AH42" s="17"/>
      <c r="AI42" s="17"/>
    </row>
    <row r="43" spans="1:35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8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</row>
    <row r="44" spans="1:35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8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87"/>
      <c r="AG44" s="17"/>
      <c r="AH44" s="17"/>
      <c r="AI44" s="17"/>
    </row>
    <row r="45" spans="1:35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8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87"/>
      <c r="AG45" s="17"/>
      <c r="AH45" s="17"/>
      <c r="AI45" s="17"/>
    </row>
    <row r="46" spans="1:35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8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87"/>
      <c r="AG46" s="17"/>
      <c r="AH46" s="17"/>
      <c r="AI46" s="17"/>
    </row>
    <row r="47" spans="1:35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8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87"/>
      <c r="AG47" s="17"/>
      <c r="AH47" s="17"/>
      <c r="AI47" s="17"/>
    </row>
    <row r="48" spans="1:35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8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87"/>
      <c r="AG48" s="17"/>
      <c r="AH48" s="17"/>
      <c r="AI48" s="17"/>
    </row>
    <row r="49" spans="1:35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8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87"/>
      <c r="AG49" s="17"/>
      <c r="AH49" s="17"/>
      <c r="AI49" s="17"/>
    </row>
    <row r="50" spans="1:35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8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87"/>
      <c r="AG50" s="17"/>
      <c r="AH50" s="17"/>
      <c r="AI50" s="17"/>
    </row>
    <row r="51" spans="1:35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8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87"/>
      <c r="AG51" s="17"/>
      <c r="AH51" s="17"/>
      <c r="AI51" s="17"/>
    </row>
    <row r="52" spans="1:35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8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87"/>
      <c r="AG52" s="17"/>
      <c r="AH52" s="17"/>
      <c r="AI52" s="17"/>
    </row>
    <row r="53" spans="1:35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8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87"/>
      <c r="AG53" s="17"/>
      <c r="AH53" s="17"/>
      <c r="AI53" s="17"/>
    </row>
    <row r="54" spans="1:35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8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87"/>
      <c r="AG54" s="17"/>
      <c r="AH54" s="17"/>
      <c r="AI54" s="17"/>
    </row>
    <row r="55" spans="1:35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8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87"/>
      <c r="AG55" s="17"/>
      <c r="AH55" s="17"/>
      <c r="AI55" s="17"/>
    </row>
    <row r="56" spans="1:35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8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87"/>
      <c r="AG56" s="17"/>
      <c r="AH56" s="17"/>
      <c r="AI56" s="17"/>
    </row>
    <row r="57" spans="1:35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8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87"/>
      <c r="AG57" s="17"/>
      <c r="AH57" s="17"/>
      <c r="AI57" s="17"/>
    </row>
    <row r="58" spans="1:35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8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87"/>
      <c r="AG58" s="17"/>
      <c r="AH58" s="17"/>
      <c r="AI58" s="17"/>
    </row>
    <row r="59" spans="1:35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8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87"/>
      <c r="AG59" s="17"/>
      <c r="AH59" s="17"/>
      <c r="AI59" s="17"/>
    </row>
    <row r="60" spans="1:35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8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87"/>
      <c r="AG60" s="17"/>
      <c r="AH60" s="17"/>
      <c r="AI60" s="17"/>
    </row>
    <row r="61" spans="1:35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8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87"/>
      <c r="AG61" s="17"/>
      <c r="AH61" s="17"/>
      <c r="AI61" s="17"/>
    </row>
    <row r="62" spans="1:35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8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87"/>
      <c r="AG62" s="17"/>
      <c r="AH62" s="17"/>
      <c r="AI62" s="17"/>
    </row>
    <row r="63" spans="1:35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8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87"/>
      <c r="AG63" s="17"/>
      <c r="AH63" s="17"/>
      <c r="AI63" s="17"/>
    </row>
    <row r="64" spans="1:35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8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87"/>
      <c r="AG64" s="17"/>
      <c r="AH64" s="17"/>
      <c r="AI64" s="17"/>
    </row>
    <row r="65" spans="1:35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8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87"/>
      <c r="AG65" s="17"/>
      <c r="AH65" s="17"/>
      <c r="AI65" s="17"/>
    </row>
    <row r="66" spans="1:35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8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87"/>
      <c r="AG66" s="17"/>
      <c r="AH66" s="17"/>
      <c r="AI66" s="17"/>
    </row>
    <row r="67" spans="1:35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8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87"/>
      <c r="AG67" s="17"/>
      <c r="AH67" s="17"/>
      <c r="AI67" s="17"/>
    </row>
    <row r="68" spans="1:35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8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87"/>
      <c r="AG68" s="17"/>
      <c r="AH68" s="17"/>
      <c r="AI68" s="17"/>
    </row>
    <row r="69" spans="1:35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8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87"/>
      <c r="AG69" s="17"/>
      <c r="AH69" s="17"/>
      <c r="AI69" s="17"/>
    </row>
    <row r="70" spans="1:35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8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87"/>
      <c r="AG70" s="17"/>
      <c r="AH70" s="17"/>
      <c r="AI70" s="17"/>
    </row>
    <row r="71" spans="1:35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8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87"/>
      <c r="AG71" s="17"/>
      <c r="AH71" s="17"/>
      <c r="AI71" s="17"/>
    </row>
    <row r="72" spans="1:35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8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87"/>
      <c r="AG72" s="17"/>
      <c r="AH72" s="17"/>
      <c r="AI72" s="17"/>
    </row>
    <row r="73" spans="1:35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8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87"/>
      <c r="AG73" s="17"/>
      <c r="AH73" s="17"/>
      <c r="AI73" s="17"/>
    </row>
    <row r="74" spans="1:35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8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87"/>
      <c r="AG74" s="17"/>
      <c r="AH74" s="17"/>
      <c r="AI74" s="17"/>
    </row>
    <row r="75" spans="1:35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8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87"/>
      <c r="AG75" s="17"/>
      <c r="AH75" s="17"/>
      <c r="AI75" s="17"/>
    </row>
    <row r="76" spans="1:35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8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87"/>
      <c r="AG76" s="17"/>
      <c r="AH76" s="17"/>
      <c r="AI76" s="17"/>
    </row>
    <row r="77" spans="1:35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8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87"/>
      <c r="AG77" s="17"/>
      <c r="AH77" s="17"/>
      <c r="AI77" s="17"/>
    </row>
    <row r="78" spans="1:35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8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87"/>
      <c r="AG78" s="17"/>
      <c r="AH78" s="17"/>
      <c r="AI78" s="17"/>
    </row>
    <row r="79" spans="1:35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8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87"/>
      <c r="AG79" s="17"/>
      <c r="AH79" s="17"/>
      <c r="AI79" s="17"/>
    </row>
    <row r="80" spans="1:35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8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87"/>
      <c r="AG80" s="17"/>
      <c r="AH80" s="17"/>
      <c r="AI80" s="17"/>
    </row>
    <row r="81" spans="1:35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8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87"/>
      <c r="AG81" s="17"/>
      <c r="AH81" s="17"/>
      <c r="AI81" s="17"/>
    </row>
    <row r="82" spans="1:35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8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87"/>
      <c r="AG82" s="17"/>
      <c r="AH82" s="17"/>
      <c r="AI82" s="17"/>
    </row>
    <row r="83" spans="1:35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8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87"/>
      <c r="AG83" s="17"/>
      <c r="AH83" s="17"/>
      <c r="AI83" s="17"/>
    </row>
    <row r="84" spans="1:35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8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87"/>
      <c r="AG84" s="17"/>
      <c r="AH84" s="17"/>
      <c r="AI84" s="17"/>
    </row>
    <row r="85" spans="1:35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8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87"/>
      <c r="AG85" s="17"/>
      <c r="AH85" s="17"/>
      <c r="AI85" s="17"/>
    </row>
    <row r="86" spans="1:35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8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87"/>
      <c r="AG86" s="17"/>
      <c r="AH86" s="17"/>
      <c r="AI86" s="17"/>
    </row>
    <row r="87" spans="1:35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8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87"/>
      <c r="AG87" s="17"/>
      <c r="AH87" s="17"/>
      <c r="AI87" s="17"/>
    </row>
    <row r="88" spans="1:35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8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87"/>
      <c r="AG88" s="17"/>
      <c r="AH88" s="17"/>
      <c r="AI88" s="17"/>
    </row>
    <row r="89" spans="1:35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8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87"/>
      <c r="AG89" s="17"/>
      <c r="AH89" s="17"/>
      <c r="AI89" s="17"/>
    </row>
    <row r="90" spans="1:35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8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87"/>
      <c r="AG90" s="17"/>
      <c r="AH90" s="17"/>
      <c r="AI90" s="17"/>
    </row>
    <row r="91" spans="1:35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8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87"/>
      <c r="AG91" s="17"/>
      <c r="AH91" s="17"/>
      <c r="AI91" s="17"/>
    </row>
    <row r="92" spans="1:35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8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87"/>
      <c r="AG92" s="17"/>
      <c r="AH92" s="17"/>
      <c r="AI92" s="17"/>
    </row>
    <row r="93" spans="1:35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8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87"/>
      <c r="AG93" s="17"/>
      <c r="AH93" s="17"/>
      <c r="AI93" s="17"/>
    </row>
    <row r="94" spans="1:35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8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87"/>
      <c r="AG94" s="17"/>
      <c r="AH94" s="17"/>
      <c r="AI94" s="17"/>
    </row>
    <row r="95" spans="1:35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8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87"/>
      <c r="AG95" s="17"/>
      <c r="AH95" s="17"/>
      <c r="AI95" s="17"/>
    </row>
    <row r="96" spans="1:35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8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87"/>
      <c r="AG96" s="17"/>
      <c r="AH96" s="17"/>
      <c r="AI96" s="17"/>
    </row>
    <row r="97" spans="1:35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8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87"/>
      <c r="AG97" s="17"/>
      <c r="AH97" s="17"/>
      <c r="AI97" s="17"/>
    </row>
    <row r="98" spans="1:35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8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87"/>
      <c r="AG98" s="17"/>
      <c r="AH98" s="17"/>
      <c r="AI98" s="17"/>
    </row>
    <row r="99" spans="1:35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8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87"/>
      <c r="AG99" s="17"/>
      <c r="AH99" s="17"/>
      <c r="AI99" s="17"/>
    </row>
    <row r="100" spans="1:35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8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87"/>
      <c r="AG100" s="17"/>
      <c r="AH100" s="17"/>
      <c r="AI100" s="17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H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I5:AI7"/>
    <mergeCell ref="I1:U1"/>
    <mergeCell ref="V1:AA1"/>
    <mergeCell ref="A2:D2"/>
    <mergeCell ref="A3:D3"/>
    <mergeCell ref="L3:P3"/>
    <mergeCell ref="Q3:AA3"/>
    <mergeCell ref="E5:AH5"/>
    <mergeCell ref="A5:A7"/>
    <mergeCell ref="B5:D7"/>
    <mergeCell ref="B8:D8"/>
    <mergeCell ref="B9:D9"/>
    <mergeCell ref="A10:A11"/>
    <mergeCell ref="B10:C11"/>
    <mergeCell ref="B12:D12"/>
  </mergeCells>
  <pageMargins left="0.43307086614173229" right="0.39370078740157483" top="0.31496062992125984" bottom="0.31496062992125984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1000"/>
  <sheetViews>
    <sheetView showGridLines="0" workbookViewId="0">
      <selection activeCell="M22" sqref="M22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6" width="4.7109375" customWidth="1"/>
  </cols>
  <sheetData>
    <row r="1" spans="1:36" ht="12.75" customHeight="1" x14ac:dyDescent="0.25">
      <c r="A1" s="17"/>
      <c r="B1" s="17"/>
      <c r="C1" s="17"/>
      <c r="D1" s="17"/>
      <c r="E1" s="17"/>
      <c r="F1" s="17"/>
      <c r="G1" s="17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87"/>
      <c r="AG1" s="87"/>
      <c r="AH1" s="17"/>
      <c r="AI1" s="17"/>
      <c r="AJ1" s="17"/>
    </row>
    <row r="2" spans="1:36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17"/>
      <c r="H2" s="17"/>
      <c r="I2" s="17"/>
      <c r="J2" s="8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87"/>
      <c r="AG2" s="87"/>
      <c r="AH2" s="17"/>
      <c r="AI2" s="17"/>
      <c r="AJ2" s="17"/>
    </row>
    <row r="3" spans="1:36" ht="12.75" customHeight="1" x14ac:dyDescent="0.25">
      <c r="A3" s="195" t="s">
        <v>82</v>
      </c>
      <c r="B3" s="196"/>
      <c r="C3" s="196"/>
      <c r="D3" s="196"/>
      <c r="E3" s="17"/>
      <c r="F3" s="17"/>
      <c r="G3" s="17"/>
      <c r="H3" s="17"/>
      <c r="I3" s="17"/>
      <c r="J3" s="8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87"/>
      <c r="AG3" s="87"/>
      <c r="AH3" s="17"/>
      <c r="AI3" s="17"/>
      <c r="AJ3" s="17"/>
    </row>
    <row r="4" spans="1:36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8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87"/>
      <c r="AG4" s="87"/>
      <c r="AH4" s="17"/>
      <c r="AI4" s="17"/>
      <c r="AJ4" s="17"/>
    </row>
    <row r="5" spans="1:36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44"/>
      <c r="AJ5" s="197" t="s">
        <v>86</v>
      </c>
    </row>
    <row r="6" spans="1:36" ht="16.5" customHeight="1" x14ac:dyDescent="0.25">
      <c r="A6" s="206"/>
      <c r="B6" s="211"/>
      <c r="C6" s="196"/>
      <c r="D6" s="212"/>
      <c r="E6" s="104">
        <f>+April!AH6+1</f>
        <v>46143</v>
      </c>
      <c r="F6" s="103">
        <f>+E6+1</f>
        <v>46144</v>
      </c>
      <c r="G6" s="103">
        <f t="shared" ref="G6:AI6" si="0">+F6+1</f>
        <v>46145</v>
      </c>
      <c r="H6" s="103">
        <f t="shared" si="0"/>
        <v>46146</v>
      </c>
      <c r="I6" s="103">
        <f t="shared" si="0"/>
        <v>46147</v>
      </c>
      <c r="J6" s="103">
        <f t="shared" si="0"/>
        <v>46148</v>
      </c>
      <c r="K6" s="103">
        <f t="shared" si="0"/>
        <v>46149</v>
      </c>
      <c r="L6" s="103">
        <f t="shared" si="0"/>
        <v>46150</v>
      </c>
      <c r="M6" s="103">
        <f t="shared" si="0"/>
        <v>46151</v>
      </c>
      <c r="N6" s="103">
        <f t="shared" si="0"/>
        <v>46152</v>
      </c>
      <c r="O6" s="103">
        <f t="shared" si="0"/>
        <v>46153</v>
      </c>
      <c r="P6" s="103">
        <f t="shared" si="0"/>
        <v>46154</v>
      </c>
      <c r="Q6" s="103">
        <f t="shared" si="0"/>
        <v>46155</v>
      </c>
      <c r="R6" s="103">
        <f t="shared" si="0"/>
        <v>46156</v>
      </c>
      <c r="S6" s="103">
        <f t="shared" si="0"/>
        <v>46157</v>
      </c>
      <c r="T6" s="103">
        <f t="shared" si="0"/>
        <v>46158</v>
      </c>
      <c r="U6" s="103">
        <f t="shared" si="0"/>
        <v>46159</v>
      </c>
      <c r="V6" s="103">
        <f t="shared" si="0"/>
        <v>46160</v>
      </c>
      <c r="W6" s="103">
        <f t="shared" si="0"/>
        <v>46161</v>
      </c>
      <c r="X6" s="103">
        <f t="shared" si="0"/>
        <v>46162</v>
      </c>
      <c r="Y6" s="103">
        <f t="shared" si="0"/>
        <v>46163</v>
      </c>
      <c r="Z6" s="103">
        <f t="shared" si="0"/>
        <v>46164</v>
      </c>
      <c r="AA6" s="103">
        <f t="shared" si="0"/>
        <v>46165</v>
      </c>
      <c r="AB6" s="103">
        <f t="shared" si="0"/>
        <v>46166</v>
      </c>
      <c r="AC6" s="103">
        <f t="shared" si="0"/>
        <v>46167</v>
      </c>
      <c r="AD6" s="103">
        <f t="shared" si="0"/>
        <v>46168</v>
      </c>
      <c r="AE6" s="103">
        <f t="shared" si="0"/>
        <v>46169</v>
      </c>
      <c r="AF6" s="103">
        <f t="shared" si="0"/>
        <v>46170</v>
      </c>
      <c r="AG6" s="103">
        <f t="shared" si="0"/>
        <v>46171</v>
      </c>
      <c r="AH6" s="103">
        <f t="shared" si="0"/>
        <v>46172</v>
      </c>
      <c r="AI6" s="103">
        <f t="shared" si="0"/>
        <v>46173</v>
      </c>
      <c r="AJ6" s="198"/>
    </row>
    <row r="7" spans="1:36" ht="16.5" customHeight="1" x14ac:dyDescent="0.25">
      <c r="A7" s="207"/>
      <c r="B7" s="213"/>
      <c r="C7" s="214"/>
      <c r="D7" s="215"/>
      <c r="E7" s="131" t="s">
        <v>134</v>
      </c>
      <c r="F7" s="19" t="str">
        <f t="shared" ref="F7:AI7" si="1">IF(E7="Mon","Tue",IF(E7="Tue","Wed",IF(E7="Wed","Thu",IF(E7="Thu","Fri",IF(E7="Fri","Sat",IF(E7="Sat","Sun",IF(E7="Sun","Mon")))))))</f>
        <v>Sat</v>
      </c>
      <c r="G7" s="19" t="str">
        <f t="shared" si="1"/>
        <v>Sun</v>
      </c>
      <c r="H7" s="19" t="str">
        <f t="shared" si="1"/>
        <v>Mon</v>
      </c>
      <c r="I7" s="19" t="str">
        <f t="shared" si="1"/>
        <v>Tue</v>
      </c>
      <c r="J7" s="19" t="str">
        <f t="shared" si="1"/>
        <v>Wed</v>
      </c>
      <c r="K7" s="19" t="str">
        <f t="shared" si="1"/>
        <v>Thu</v>
      </c>
      <c r="L7" s="19" t="str">
        <f t="shared" si="1"/>
        <v>Fri</v>
      </c>
      <c r="M7" s="19" t="str">
        <f t="shared" si="1"/>
        <v>Sat</v>
      </c>
      <c r="N7" s="19" t="str">
        <f t="shared" si="1"/>
        <v>Sun</v>
      </c>
      <c r="O7" s="19" t="str">
        <f t="shared" si="1"/>
        <v>Mon</v>
      </c>
      <c r="P7" s="19" t="str">
        <f t="shared" si="1"/>
        <v>Tue</v>
      </c>
      <c r="Q7" s="19" t="str">
        <f t="shared" si="1"/>
        <v>Wed</v>
      </c>
      <c r="R7" s="19" t="str">
        <f t="shared" si="1"/>
        <v>Thu</v>
      </c>
      <c r="S7" s="19" t="str">
        <f t="shared" si="1"/>
        <v>Fri</v>
      </c>
      <c r="T7" s="19" t="str">
        <f t="shared" si="1"/>
        <v>Sat</v>
      </c>
      <c r="U7" s="19" t="str">
        <f t="shared" si="1"/>
        <v>Sun</v>
      </c>
      <c r="V7" s="19" t="str">
        <f t="shared" si="1"/>
        <v>Mon</v>
      </c>
      <c r="W7" s="19" t="str">
        <f t="shared" si="1"/>
        <v>Tue</v>
      </c>
      <c r="X7" s="19" t="str">
        <f t="shared" si="1"/>
        <v>Wed</v>
      </c>
      <c r="Y7" s="19" t="str">
        <f t="shared" si="1"/>
        <v>Thu</v>
      </c>
      <c r="Z7" s="19" t="str">
        <f t="shared" si="1"/>
        <v>Fri</v>
      </c>
      <c r="AA7" s="19" t="str">
        <f t="shared" si="1"/>
        <v>Sat</v>
      </c>
      <c r="AB7" s="19" t="str">
        <f t="shared" si="1"/>
        <v>Sun</v>
      </c>
      <c r="AC7" s="19" t="str">
        <f t="shared" si="1"/>
        <v>Mon</v>
      </c>
      <c r="AD7" s="19" t="str">
        <f t="shared" si="1"/>
        <v>Tue</v>
      </c>
      <c r="AE7" s="19" t="str">
        <f t="shared" si="1"/>
        <v>Wed</v>
      </c>
      <c r="AF7" s="19" t="str">
        <f t="shared" si="1"/>
        <v>Thu</v>
      </c>
      <c r="AG7" s="19" t="str">
        <f t="shared" si="1"/>
        <v>Fri</v>
      </c>
      <c r="AH7" s="19" t="str">
        <f t="shared" si="1"/>
        <v>Sat</v>
      </c>
      <c r="AI7" s="19" t="str">
        <f t="shared" si="1"/>
        <v>Sun</v>
      </c>
      <c r="AJ7" s="199"/>
    </row>
    <row r="8" spans="1:36" ht="21" customHeight="1" x14ac:dyDescent="0.25">
      <c r="A8" s="20" t="s">
        <v>30</v>
      </c>
      <c r="B8" s="183" t="s">
        <v>90</v>
      </c>
      <c r="C8" s="184"/>
      <c r="D8" s="185"/>
      <c r="E8" s="93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93"/>
      <c r="AI8" s="19"/>
      <c r="AJ8" s="21" t="s">
        <v>31</v>
      </c>
    </row>
    <row r="9" spans="1:36" ht="21" customHeight="1" x14ac:dyDescent="0.25">
      <c r="A9" s="20" t="s">
        <v>32</v>
      </c>
      <c r="B9" s="183" t="s">
        <v>91</v>
      </c>
      <c r="C9" s="184"/>
      <c r="D9" s="185"/>
      <c r="E9" s="93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93"/>
      <c r="AI9" s="19"/>
      <c r="AJ9" s="21" t="s">
        <v>31</v>
      </c>
    </row>
    <row r="10" spans="1:36" ht="21" customHeight="1" x14ac:dyDescent="0.25">
      <c r="A10" s="186" t="s">
        <v>33</v>
      </c>
      <c r="B10" s="238" t="s">
        <v>93</v>
      </c>
      <c r="C10" s="239"/>
      <c r="D10" s="19" t="s">
        <v>88</v>
      </c>
      <c r="E10" s="93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79"/>
      <c r="AH10" s="97"/>
      <c r="AI10" s="79"/>
      <c r="AJ10" s="21" t="s">
        <v>31</v>
      </c>
    </row>
    <row r="11" spans="1:36" ht="21" customHeight="1" x14ac:dyDescent="0.25">
      <c r="A11" s="187"/>
      <c r="B11" s="240"/>
      <c r="C11" s="241"/>
      <c r="D11" s="22" t="s">
        <v>89</v>
      </c>
      <c r="E11" s="9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80"/>
      <c r="AH11" s="98"/>
      <c r="AI11" s="80"/>
      <c r="AJ11" s="24" t="s">
        <v>31</v>
      </c>
    </row>
    <row r="12" spans="1:36" ht="21" customHeight="1" thickTop="1" thickBot="1" x14ac:dyDescent="0.3">
      <c r="A12" s="25" t="s">
        <v>34</v>
      </c>
      <c r="B12" s="192" t="s">
        <v>94</v>
      </c>
      <c r="C12" s="193"/>
      <c r="D12" s="194"/>
      <c r="E12" s="95">
        <f t="shared" ref="E12:AI12" si="2">E9-E8</f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  <c r="I12" s="27">
        <f t="shared" si="2"/>
        <v>0</v>
      </c>
      <c r="J12" s="27">
        <f t="shared" si="2"/>
        <v>0</v>
      </c>
      <c r="K12" s="27">
        <f t="shared" si="2"/>
        <v>0</v>
      </c>
      <c r="L12" s="27">
        <f t="shared" si="2"/>
        <v>0</v>
      </c>
      <c r="M12" s="27">
        <f t="shared" si="2"/>
        <v>0</v>
      </c>
      <c r="N12" s="27">
        <f t="shared" si="2"/>
        <v>0</v>
      </c>
      <c r="O12" s="27">
        <f t="shared" si="2"/>
        <v>0</v>
      </c>
      <c r="P12" s="27">
        <f t="shared" si="2"/>
        <v>0</v>
      </c>
      <c r="Q12" s="27">
        <f t="shared" si="2"/>
        <v>0</v>
      </c>
      <c r="R12" s="27">
        <f t="shared" si="2"/>
        <v>0</v>
      </c>
      <c r="S12" s="27">
        <f t="shared" si="2"/>
        <v>0</v>
      </c>
      <c r="T12" s="27">
        <f t="shared" si="2"/>
        <v>0</v>
      </c>
      <c r="U12" s="27">
        <f t="shared" si="2"/>
        <v>0</v>
      </c>
      <c r="V12" s="27">
        <f t="shared" si="2"/>
        <v>0</v>
      </c>
      <c r="W12" s="27">
        <f t="shared" si="2"/>
        <v>0</v>
      </c>
      <c r="X12" s="27">
        <f t="shared" si="2"/>
        <v>0</v>
      </c>
      <c r="Y12" s="27">
        <f t="shared" si="2"/>
        <v>0</v>
      </c>
      <c r="Z12" s="27">
        <f t="shared" si="2"/>
        <v>0</v>
      </c>
      <c r="AA12" s="27">
        <f t="shared" si="2"/>
        <v>0</v>
      </c>
      <c r="AB12" s="27">
        <f t="shared" si="2"/>
        <v>0</v>
      </c>
      <c r="AC12" s="27">
        <f t="shared" si="2"/>
        <v>0</v>
      </c>
      <c r="AD12" s="27">
        <f t="shared" si="2"/>
        <v>0</v>
      </c>
      <c r="AE12" s="27">
        <f t="shared" si="2"/>
        <v>0</v>
      </c>
      <c r="AF12" s="27">
        <f t="shared" si="2"/>
        <v>0</v>
      </c>
      <c r="AG12" s="27">
        <f t="shared" si="2"/>
        <v>0</v>
      </c>
      <c r="AH12" s="95">
        <f t="shared" si="2"/>
        <v>0</v>
      </c>
      <c r="AI12" s="27">
        <f t="shared" si="2"/>
        <v>0</v>
      </c>
      <c r="AJ12" s="82">
        <f t="shared" ref="AJ12:AJ40" si="3">SUM(E12:AI12)</f>
        <v>0</v>
      </c>
    </row>
    <row r="13" spans="1:36" ht="21" customHeight="1" thickTop="1" x14ac:dyDescent="0.25">
      <c r="A13" s="28" t="s">
        <v>35</v>
      </c>
      <c r="B13" s="216" t="s">
        <v>80</v>
      </c>
      <c r="C13" s="231"/>
      <c r="D13" s="217"/>
      <c r="E13" s="96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83"/>
      <c r="AH13" s="99"/>
      <c r="AI13" s="83"/>
      <c r="AJ13" s="84">
        <f t="shared" si="3"/>
        <v>0</v>
      </c>
    </row>
    <row r="14" spans="1:36" ht="21" customHeight="1" x14ac:dyDescent="0.25">
      <c r="A14" s="20" t="s">
        <v>36</v>
      </c>
      <c r="B14" s="183" t="s">
        <v>95</v>
      </c>
      <c r="C14" s="184"/>
      <c r="D14" s="185"/>
      <c r="E14" s="93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79"/>
      <c r="AH14" s="97"/>
      <c r="AI14" s="79"/>
      <c r="AJ14" s="21">
        <f t="shared" si="3"/>
        <v>0</v>
      </c>
    </row>
    <row r="15" spans="1:36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93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79"/>
      <c r="AH15" s="97"/>
      <c r="AI15" s="79"/>
      <c r="AJ15" s="21">
        <f t="shared" si="3"/>
        <v>0</v>
      </c>
    </row>
    <row r="16" spans="1:36" ht="21" customHeight="1" x14ac:dyDescent="0.25">
      <c r="A16" s="20"/>
      <c r="B16" s="220"/>
      <c r="C16" s="220"/>
      <c r="D16" s="140" t="s">
        <v>97</v>
      </c>
      <c r="E16" s="93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79"/>
      <c r="AH16" s="97"/>
      <c r="AI16" s="79"/>
      <c r="AJ16" s="21">
        <f t="shared" si="3"/>
        <v>0</v>
      </c>
    </row>
    <row r="17" spans="1:36" ht="21" customHeight="1" x14ac:dyDescent="0.25">
      <c r="A17" s="20"/>
      <c r="B17" s="220"/>
      <c r="C17" s="232"/>
      <c r="D17" s="140" t="s">
        <v>98</v>
      </c>
      <c r="E17" s="93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79"/>
      <c r="AH17" s="97"/>
      <c r="AI17" s="79"/>
      <c r="AJ17" s="21">
        <f t="shared" si="3"/>
        <v>0</v>
      </c>
    </row>
    <row r="18" spans="1:36" ht="21" customHeight="1" x14ac:dyDescent="0.25">
      <c r="A18" s="20"/>
      <c r="B18" s="220"/>
      <c r="C18" s="183" t="s">
        <v>100</v>
      </c>
      <c r="D18" s="185"/>
      <c r="E18" s="93">
        <v>8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79"/>
      <c r="AH18" s="97"/>
      <c r="AI18" s="79"/>
      <c r="AJ18" s="21">
        <f t="shared" si="3"/>
        <v>8</v>
      </c>
    </row>
    <row r="19" spans="1:36" ht="30" customHeight="1" x14ac:dyDescent="0.25">
      <c r="A19" s="20"/>
      <c r="B19" s="220"/>
      <c r="C19" s="224" t="s">
        <v>105</v>
      </c>
      <c r="D19" s="185"/>
      <c r="E19" s="93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79"/>
      <c r="AH19" s="97"/>
      <c r="AI19" s="79"/>
      <c r="AJ19" s="21">
        <f t="shared" si="3"/>
        <v>0</v>
      </c>
    </row>
    <row r="20" spans="1:36" ht="21" customHeight="1" x14ac:dyDescent="0.25">
      <c r="A20" s="20"/>
      <c r="B20" s="220"/>
      <c r="C20" s="183" t="s">
        <v>106</v>
      </c>
      <c r="D20" s="185"/>
      <c r="E20" s="93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79"/>
      <c r="AH20" s="97"/>
      <c r="AI20" s="79"/>
      <c r="AJ20" s="21">
        <f t="shared" si="3"/>
        <v>0</v>
      </c>
    </row>
    <row r="21" spans="1:36" ht="21" customHeight="1" x14ac:dyDescent="0.25">
      <c r="A21" s="20"/>
      <c r="B21" s="220"/>
      <c r="C21" s="183" t="s">
        <v>107</v>
      </c>
      <c r="D21" s="185"/>
      <c r="E21" s="93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79"/>
      <c r="AH21" s="97"/>
      <c r="AI21" s="79"/>
      <c r="AJ21" s="21">
        <f t="shared" si="3"/>
        <v>0</v>
      </c>
    </row>
    <row r="22" spans="1:36" ht="21" customHeight="1" x14ac:dyDescent="0.25">
      <c r="A22" s="20"/>
      <c r="B22" s="220"/>
      <c r="C22" s="183" t="s">
        <v>108</v>
      </c>
      <c r="D22" s="185"/>
      <c r="E22" s="93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79"/>
      <c r="AH22" s="97"/>
      <c r="AI22" s="79"/>
      <c r="AJ22" s="21">
        <f t="shared" si="3"/>
        <v>0</v>
      </c>
    </row>
    <row r="23" spans="1:36" ht="21" customHeight="1" x14ac:dyDescent="0.25">
      <c r="A23" s="20"/>
      <c r="B23" s="220"/>
      <c r="C23" s="229" t="s">
        <v>122</v>
      </c>
      <c r="D23" s="230"/>
      <c r="E23" s="93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79"/>
      <c r="AH23" s="97"/>
      <c r="AI23" s="79"/>
      <c r="AJ23" s="21">
        <f t="shared" si="3"/>
        <v>0</v>
      </c>
    </row>
    <row r="24" spans="1:36" ht="21" customHeight="1" x14ac:dyDescent="0.25">
      <c r="A24" s="20"/>
      <c r="B24" s="220"/>
      <c r="C24" s="183" t="s">
        <v>113</v>
      </c>
      <c r="D24" s="185"/>
      <c r="E24" s="93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79"/>
      <c r="AH24" s="97"/>
      <c r="AI24" s="79"/>
      <c r="AJ24" s="21">
        <f t="shared" si="3"/>
        <v>0</v>
      </c>
    </row>
    <row r="25" spans="1:36" ht="30" customHeight="1" x14ac:dyDescent="0.25">
      <c r="A25" s="20"/>
      <c r="B25" s="220"/>
      <c r="C25" s="224" t="s">
        <v>114</v>
      </c>
      <c r="D25" s="185"/>
      <c r="E25" s="93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79"/>
      <c r="AH25" s="97"/>
      <c r="AI25" s="79"/>
      <c r="AJ25" s="21">
        <f t="shared" si="3"/>
        <v>0</v>
      </c>
    </row>
    <row r="26" spans="1:36" ht="21" customHeight="1" x14ac:dyDescent="0.25">
      <c r="A26" s="20"/>
      <c r="B26" s="220"/>
      <c r="C26" s="183" t="s">
        <v>115</v>
      </c>
      <c r="D26" s="185"/>
      <c r="E26" s="93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79"/>
      <c r="AH26" s="97"/>
      <c r="AI26" s="79"/>
      <c r="AJ26" s="21">
        <f t="shared" si="3"/>
        <v>0</v>
      </c>
    </row>
    <row r="27" spans="1:36" ht="21" customHeight="1" x14ac:dyDescent="0.25">
      <c r="A27" s="20"/>
      <c r="B27" s="220"/>
      <c r="C27" s="183" t="s">
        <v>116</v>
      </c>
      <c r="D27" s="185"/>
      <c r="E27" s="93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79"/>
      <c r="AH27" s="97"/>
      <c r="AI27" s="79"/>
      <c r="AJ27" s="21">
        <f t="shared" si="3"/>
        <v>0</v>
      </c>
    </row>
    <row r="28" spans="1:36" ht="21" customHeight="1" x14ac:dyDescent="0.25">
      <c r="A28" s="20"/>
      <c r="B28" s="220"/>
      <c r="C28" s="225" t="s">
        <v>121</v>
      </c>
      <c r="D28" s="226"/>
      <c r="E28" s="93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79"/>
      <c r="AH28" s="97"/>
      <c r="AI28" s="79"/>
      <c r="AJ28" s="21">
        <f t="shared" si="3"/>
        <v>0</v>
      </c>
    </row>
    <row r="29" spans="1:36" ht="21" customHeight="1" x14ac:dyDescent="0.25">
      <c r="A29" s="20"/>
      <c r="B29" s="220"/>
      <c r="C29" s="183" t="s">
        <v>120</v>
      </c>
      <c r="D29" s="228"/>
      <c r="E29" s="93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79"/>
      <c r="AH29" s="97"/>
      <c r="AI29" s="79"/>
      <c r="AJ29" s="21">
        <f t="shared" si="3"/>
        <v>0</v>
      </c>
    </row>
    <row r="30" spans="1:36" ht="21" customHeight="1" x14ac:dyDescent="0.25">
      <c r="A30" s="20"/>
      <c r="B30" s="220"/>
      <c r="C30" s="183" t="s">
        <v>117</v>
      </c>
      <c r="D30" s="185"/>
      <c r="E30" s="93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79"/>
      <c r="AH30" s="97"/>
      <c r="AI30" s="79"/>
      <c r="AJ30" s="21">
        <f t="shared" si="3"/>
        <v>0</v>
      </c>
    </row>
    <row r="31" spans="1:36" ht="21" customHeight="1" x14ac:dyDescent="0.25">
      <c r="A31" s="20"/>
      <c r="B31" s="220"/>
      <c r="C31" s="183" t="s">
        <v>118</v>
      </c>
      <c r="D31" s="185"/>
      <c r="E31" s="93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79"/>
      <c r="AH31" s="97"/>
      <c r="AI31" s="79"/>
      <c r="AJ31" s="21">
        <f t="shared" si="3"/>
        <v>0</v>
      </c>
    </row>
    <row r="32" spans="1:36" ht="21" customHeight="1" x14ac:dyDescent="0.25">
      <c r="A32" s="20"/>
      <c r="B32" s="220"/>
      <c r="C32" s="183" t="s">
        <v>119</v>
      </c>
      <c r="D32" s="228"/>
      <c r="E32" s="93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79"/>
      <c r="AH32" s="97"/>
      <c r="AI32" s="79"/>
      <c r="AJ32" s="21">
        <f t="shared" si="3"/>
        <v>0</v>
      </c>
    </row>
    <row r="33" spans="1:36" ht="21" customHeight="1" x14ac:dyDescent="0.25">
      <c r="A33" s="20"/>
      <c r="B33" s="220"/>
      <c r="C33" s="183" t="s">
        <v>111</v>
      </c>
      <c r="D33" s="185"/>
      <c r="E33" s="93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79"/>
      <c r="AH33" s="97"/>
      <c r="AI33" s="79"/>
      <c r="AJ33" s="21">
        <f t="shared" si="3"/>
        <v>0</v>
      </c>
    </row>
    <row r="34" spans="1:36" ht="21" customHeight="1" thickBot="1" x14ac:dyDescent="0.3">
      <c r="A34" s="31"/>
      <c r="B34" s="221"/>
      <c r="C34" s="222" t="s">
        <v>112</v>
      </c>
      <c r="D34" s="223"/>
      <c r="E34" s="94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80"/>
      <c r="AH34" s="98"/>
      <c r="AI34" s="80"/>
      <c r="AJ34" s="24">
        <f t="shared" si="3"/>
        <v>0</v>
      </c>
    </row>
    <row r="35" spans="1:36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96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83"/>
      <c r="AH35" s="99"/>
      <c r="AI35" s="83"/>
      <c r="AJ35" s="84">
        <f t="shared" si="3"/>
        <v>0</v>
      </c>
    </row>
    <row r="36" spans="1:36" ht="21" customHeight="1" x14ac:dyDescent="0.25">
      <c r="A36" s="206"/>
      <c r="B36" s="220"/>
      <c r="C36" s="183" t="s">
        <v>102</v>
      </c>
      <c r="D36" s="185"/>
      <c r="E36" s="93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79"/>
      <c r="AH36" s="97"/>
      <c r="AI36" s="79"/>
      <c r="AJ36" s="21">
        <f t="shared" si="3"/>
        <v>0</v>
      </c>
    </row>
    <row r="37" spans="1:36" ht="21" customHeight="1" thickBot="1" x14ac:dyDescent="0.3">
      <c r="A37" s="187"/>
      <c r="B37" s="221"/>
      <c r="C37" s="222" t="s">
        <v>103</v>
      </c>
      <c r="D37" s="223"/>
      <c r="E37" s="94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80"/>
      <c r="AH37" s="98"/>
      <c r="AI37" s="80"/>
      <c r="AJ37" s="24">
        <f t="shared" si="3"/>
        <v>0</v>
      </c>
    </row>
    <row r="38" spans="1:36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96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83"/>
      <c r="AH38" s="99"/>
      <c r="AI38" s="83"/>
      <c r="AJ38" s="84">
        <f t="shared" si="3"/>
        <v>0</v>
      </c>
    </row>
    <row r="39" spans="1:36" ht="21" customHeight="1" x14ac:dyDescent="0.25">
      <c r="A39" s="206"/>
      <c r="B39" s="220"/>
      <c r="C39" s="183" t="s">
        <v>102</v>
      </c>
      <c r="D39" s="185"/>
      <c r="E39" s="93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9"/>
      <c r="AH39" s="97"/>
      <c r="AI39" s="79"/>
      <c r="AJ39" s="21">
        <f t="shared" si="3"/>
        <v>0</v>
      </c>
    </row>
    <row r="40" spans="1:36" ht="21" customHeight="1" thickBot="1" x14ac:dyDescent="0.3">
      <c r="A40" s="187"/>
      <c r="B40" s="221"/>
      <c r="C40" s="222" t="s">
        <v>103</v>
      </c>
      <c r="D40" s="223"/>
      <c r="E40" s="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85"/>
      <c r="AH40" s="100"/>
      <c r="AI40" s="85"/>
      <c r="AJ40" s="86">
        <f t="shared" si="3"/>
        <v>0</v>
      </c>
    </row>
    <row r="41" spans="1:36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8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5"/>
      <c r="AI41" s="236"/>
      <c r="AJ41" s="33">
        <f>SUM(AJ12:AJ40)</f>
        <v>8</v>
      </c>
    </row>
    <row r="42" spans="1:36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8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87"/>
      <c r="AG42" s="87"/>
      <c r="AH42" s="17"/>
      <c r="AI42" s="17"/>
      <c r="AJ42" s="17"/>
    </row>
    <row r="43" spans="1:36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8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  <c r="AJ43" s="17"/>
    </row>
    <row r="44" spans="1:36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8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87"/>
      <c r="AG44" s="87"/>
      <c r="AH44" s="17"/>
      <c r="AI44" s="17"/>
      <c r="AJ44" s="17"/>
    </row>
    <row r="45" spans="1:36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8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87"/>
      <c r="AG45" s="87"/>
      <c r="AH45" s="17"/>
      <c r="AI45" s="17"/>
      <c r="AJ45" s="17"/>
    </row>
    <row r="46" spans="1:36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8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87"/>
      <c r="AG46" s="87"/>
      <c r="AH46" s="17"/>
      <c r="AI46" s="17"/>
      <c r="AJ46" s="17"/>
    </row>
    <row r="47" spans="1:36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8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87"/>
      <c r="AG47" s="87"/>
      <c r="AH47" s="17"/>
      <c r="AI47" s="17"/>
      <c r="AJ47" s="17"/>
    </row>
    <row r="48" spans="1:36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8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87"/>
      <c r="AG48" s="87"/>
      <c r="AH48" s="17"/>
      <c r="AI48" s="17"/>
      <c r="AJ48" s="17"/>
    </row>
    <row r="49" spans="1:36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8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87"/>
      <c r="AG49" s="87"/>
      <c r="AH49" s="17"/>
      <c r="AI49" s="17"/>
      <c r="AJ49" s="17"/>
    </row>
    <row r="50" spans="1:36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8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87"/>
      <c r="AG50" s="87"/>
      <c r="AH50" s="17"/>
      <c r="AI50" s="17"/>
      <c r="AJ50" s="17"/>
    </row>
    <row r="51" spans="1:36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8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87"/>
      <c r="AG51" s="87"/>
      <c r="AH51" s="17"/>
      <c r="AI51" s="17"/>
      <c r="AJ51" s="17"/>
    </row>
    <row r="52" spans="1:36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8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87"/>
      <c r="AG52" s="87"/>
      <c r="AH52" s="17"/>
      <c r="AI52" s="17"/>
      <c r="AJ52" s="17"/>
    </row>
    <row r="53" spans="1:36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8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87"/>
      <c r="AG53" s="87"/>
      <c r="AH53" s="17"/>
      <c r="AI53" s="17"/>
      <c r="AJ53" s="17"/>
    </row>
    <row r="54" spans="1:36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8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87"/>
      <c r="AG54" s="87"/>
      <c r="AH54" s="17"/>
      <c r="AI54" s="17"/>
      <c r="AJ54" s="17"/>
    </row>
    <row r="55" spans="1:36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8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87"/>
      <c r="AG55" s="87"/>
      <c r="AH55" s="17"/>
      <c r="AI55" s="17"/>
      <c r="AJ55" s="17"/>
    </row>
    <row r="56" spans="1:36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8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87"/>
      <c r="AG56" s="87"/>
      <c r="AH56" s="17"/>
      <c r="AI56" s="17"/>
      <c r="AJ56" s="17"/>
    </row>
    <row r="57" spans="1:36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8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87"/>
      <c r="AG57" s="87"/>
      <c r="AH57" s="17"/>
      <c r="AI57" s="17"/>
      <c r="AJ57" s="17"/>
    </row>
    <row r="58" spans="1:36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8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87"/>
      <c r="AG58" s="87"/>
      <c r="AH58" s="17"/>
      <c r="AI58" s="17"/>
      <c r="AJ58" s="17"/>
    </row>
    <row r="59" spans="1:36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8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87"/>
      <c r="AG59" s="87"/>
      <c r="AH59" s="17"/>
      <c r="AI59" s="17"/>
      <c r="AJ59" s="17"/>
    </row>
    <row r="60" spans="1:36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8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87"/>
      <c r="AG60" s="87"/>
      <c r="AH60" s="17"/>
      <c r="AI60" s="17"/>
      <c r="AJ60" s="17"/>
    </row>
    <row r="61" spans="1:36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8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87"/>
      <c r="AG61" s="87"/>
      <c r="AH61" s="17"/>
      <c r="AI61" s="17"/>
      <c r="AJ61" s="17"/>
    </row>
    <row r="62" spans="1:36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8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87"/>
      <c r="AG62" s="87"/>
      <c r="AH62" s="17"/>
      <c r="AI62" s="17"/>
      <c r="AJ62" s="17"/>
    </row>
    <row r="63" spans="1:36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8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87"/>
      <c r="AG63" s="87"/>
      <c r="AH63" s="17"/>
      <c r="AI63" s="17"/>
      <c r="AJ63" s="17"/>
    </row>
    <row r="64" spans="1:36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8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87"/>
      <c r="AG64" s="87"/>
      <c r="AH64" s="17"/>
      <c r="AI64" s="17"/>
      <c r="AJ64" s="17"/>
    </row>
    <row r="65" spans="1:36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8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87"/>
      <c r="AG65" s="87"/>
      <c r="AH65" s="17"/>
      <c r="AI65" s="17"/>
      <c r="AJ65" s="17"/>
    </row>
    <row r="66" spans="1:36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8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87"/>
      <c r="AG66" s="87"/>
      <c r="AH66" s="17"/>
      <c r="AI66" s="17"/>
      <c r="AJ66" s="17"/>
    </row>
    <row r="67" spans="1:36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8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87"/>
      <c r="AG67" s="87"/>
      <c r="AH67" s="17"/>
      <c r="AI67" s="17"/>
      <c r="AJ67" s="17"/>
    </row>
    <row r="68" spans="1:36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8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87"/>
      <c r="AG68" s="87"/>
      <c r="AH68" s="17"/>
      <c r="AI68" s="17"/>
      <c r="AJ68" s="17"/>
    </row>
    <row r="69" spans="1:36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8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87"/>
      <c r="AG69" s="87"/>
      <c r="AH69" s="17"/>
      <c r="AI69" s="17"/>
      <c r="AJ69" s="17"/>
    </row>
    <row r="70" spans="1:36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8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87"/>
      <c r="AG70" s="87"/>
      <c r="AH70" s="17"/>
      <c r="AI70" s="17"/>
      <c r="AJ70" s="17"/>
    </row>
    <row r="71" spans="1:36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8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87"/>
      <c r="AG71" s="87"/>
      <c r="AH71" s="17"/>
      <c r="AI71" s="17"/>
      <c r="AJ71" s="17"/>
    </row>
    <row r="72" spans="1:36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8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87"/>
      <c r="AG72" s="87"/>
      <c r="AH72" s="17"/>
      <c r="AI72" s="17"/>
      <c r="AJ72" s="17"/>
    </row>
    <row r="73" spans="1:36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8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87"/>
      <c r="AG73" s="87"/>
      <c r="AH73" s="17"/>
      <c r="AI73" s="17"/>
      <c r="AJ73" s="17"/>
    </row>
    <row r="74" spans="1:36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8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87"/>
      <c r="AG74" s="87"/>
      <c r="AH74" s="17"/>
      <c r="AI74" s="17"/>
      <c r="AJ74" s="17"/>
    </row>
    <row r="75" spans="1:36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8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87"/>
      <c r="AG75" s="87"/>
      <c r="AH75" s="17"/>
      <c r="AI75" s="17"/>
      <c r="AJ75" s="17"/>
    </row>
    <row r="76" spans="1:36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8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87"/>
      <c r="AG76" s="87"/>
      <c r="AH76" s="17"/>
      <c r="AI76" s="17"/>
      <c r="AJ76" s="17"/>
    </row>
    <row r="77" spans="1:36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8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87"/>
      <c r="AG77" s="87"/>
      <c r="AH77" s="17"/>
      <c r="AI77" s="17"/>
      <c r="AJ77" s="17"/>
    </row>
    <row r="78" spans="1:36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8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87"/>
      <c r="AG78" s="87"/>
      <c r="AH78" s="17"/>
      <c r="AI78" s="17"/>
      <c r="AJ78" s="17"/>
    </row>
    <row r="79" spans="1:36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8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87"/>
      <c r="AG79" s="87"/>
      <c r="AH79" s="17"/>
      <c r="AI79" s="17"/>
      <c r="AJ79" s="17"/>
    </row>
    <row r="80" spans="1:36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8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87"/>
      <c r="AG80" s="87"/>
      <c r="AH80" s="17"/>
      <c r="AI80" s="17"/>
      <c r="AJ80" s="17"/>
    </row>
    <row r="81" spans="1:36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8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87"/>
      <c r="AG81" s="87"/>
      <c r="AH81" s="17"/>
      <c r="AI81" s="17"/>
      <c r="AJ81" s="17"/>
    </row>
    <row r="82" spans="1:36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8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87"/>
      <c r="AG82" s="87"/>
      <c r="AH82" s="17"/>
      <c r="AI82" s="17"/>
      <c r="AJ82" s="17"/>
    </row>
    <row r="83" spans="1:36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8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87"/>
      <c r="AG83" s="87"/>
      <c r="AH83" s="17"/>
      <c r="AI83" s="17"/>
      <c r="AJ83" s="17"/>
    </row>
    <row r="84" spans="1:36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8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87"/>
      <c r="AG84" s="87"/>
      <c r="AH84" s="17"/>
      <c r="AI84" s="17"/>
      <c r="AJ84" s="17"/>
    </row>
    <row r="85" spans="1:36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8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87"/>
      <c r="AG85" s="87"/>
      <c r="AH85" s="17"/>
      <c r="AI85" s="17"/>
      <c r="AJ85" s="17"/>
    </row>
    <row r="86" spans="1:36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8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87"/>
      <c r="AG86" s="87"/>
      <c r="AH86" s="17"/>
      <c r="AI86" s="17"/>
      <c r="AJ86" s="17"/>
    </row>
    <row r="87" spans="1:36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8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87"/>
      <c r="AG87" s="87"/>
      <c r="AH87" s="17"/>
      <c r="AI87" s="17"/>
      <c r="AJ87" s="17"/>
    </row>
    <row r="88" spans="1:36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8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87"/>
      <c r="AG88" s="87"/>
      <c r="AH88" s="17"/>
      <c r="AI88" s="17"/>
      <c r="AJ88" s="17"/>
    </row>
    <row r="89" spans="1:36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8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87"/>
      <c r="AG89" s="87"/>
      <c r="AH89" s="17"/>
      <c r="AI89" s="17"/>
      <c r="AJ89" s="17"/>
    </row>
    <row r="90" spans="1:36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8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87"/>
      <c r="AG90" s="87"/>
      <c r="AH90" s="17"/>
      <c r="AI90" s="17"/>
      <c r="AJ90" s="17"/>
    </row>
    <row r="91" spans="1:36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8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87"/>
      <c r="AG91" s="87"/>
      <c r="AH91" s="17"/>
      <c r="AI91" s="17"/>
      <c r="AJ91" s="17"/>
    </row>
    <row r="92" spans="1:36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8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87"/>
      <c r="AG92" s="87"/>
      <c r="AH92" s="17"/>
      <c r="AI92" s="17"/>
      <c r="AJ92" s="17"/>
    </row>
    <row r="93" spans="1:36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8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87"/>
      <c r="AG93" s="87"/>
      <c r="AH93" s="17"/>
      <c r="AI93" s="17"/>
      <c r="AJ93" s="17"/>
    </row>
    <row r="94" spans="1:36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8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87"/>
      <c r="AG94" s="87"/>
      <c r="AH94" s="17"/>
      <c r="AI94" s="17"/>
      <c r="AJ94" s="17"/>
    </row>
    <row r="95" spans="1:36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8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87"/>
      <c r="AG95" s="87"/>
      <c r="AH95" s="17"/>
      <c r="AI95" s="17"/>
      <c r="AJ95" s="17"/>
    </row>
    <row r="96" spans="1:36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8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87"/>
      <c r="AG96" s="87"/>
      <c r="AH96" s="17"/>
      <c r="AI96" s="17"/>
      <c r="AJ96" s="17"/>
    </row>
    <row r="97" spans="1:36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8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87"/>
      <c r="AG97" s="87"/>
      <c r="AH97" s="17"/>
      <c r="AI97" s="17"/>
      <c r="AJ97" s="17"/>
    </row>
    <row r="98" spans="1:36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8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87"/>
      <c r="AG98" s="87"/>
      <c r="AH98" s="17"/>
      <c r="AI98" s="17"/>
      <c r="AJ98" s="17"/>
    </row>
    <row r="99" spans="1:36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8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87"/>
      <c r="AG99" s="87"/>
      <c r="AH99" s="17"/>
      <c r="AI99" s="17"/>
      <c r="AJ99" s="17"/>
    </row>
    <row r="100" spans="1:36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8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87"/>
      <c r="AG100" s="87"/>
      <c r="AH100" s="17"/>
      <c r="AI100" s="17"/>
      <c r="AJ100" s="17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B8:D8"/>
    <mergeCell ref="B9:D9"/>
    <mergeCell ref="A10:A11"/>
    <mergeCell ref="B10:C11"/>
    <mergeCell ref="B12:D12"/>
  </mergeCells>
  <phoneticPr fontId="16" type="noConversion"/>
  <pageMargins left="0.43307086614173229" right="0.39370078740157483" top="0.31496062992125984" bottom="0.31496062992125984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1000"/>
  <sheetViews>
    <sheetView showGridLines="0" zoomScale="90" zoomScaleNormal="90" workbookViewId="0">
      <selection activeCell="E8" sqref="E8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6" width="4.7109375" customWidth="1"/>
    <col min="7" max="7" width="4.7109375" style="74" customWidth="1"/>
    <col min="8" max="34" width="4.7109375" customWidth="1"/>
    <col min="35" max="35" width="10.42578125" customWidth="1"/>
  </cols>
  <sheetData>
    <row r="1" spans="1:35" ht="12.75" customHeight="1" x14ac:dyDescent="0.25">
      <c r="A1" s="17"/>
      <c r="B1" s="17"/>
      <c r="C1" s="17"/>
      <c r="D1" s="17"/>
      <c r="E1" s="17"/>
      <c r="F1" s="17"/>
      <c r="G1" s="72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87"/>
      <c r="AG1" s="87"/>
      <c r="AH1" s="17"/>
      <c r="AI1" s="17"/>
    </row>
    <row r="2" spans="1:35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72"/>
      <c r="H2" s="17"/>
      <c r="I2" s="17"/>
      <c r="J2" s="8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87"/>
      <c r="AG2" s="87"/>
      <c r="AH2" s="17"/>
      <c r="AI2" s="17"/>
    </row>
    <row r="3" spans="1:35" ht="12.75" customHeight="1" x14ac:dyDescent="0.25">
      <c r="A3" s="195" t="s">
        <v>82</v>
      </c>
      <c r="B3" s="196"/>
      <c r="C3" s="196"/>
      <c r="D3" s="196"/>
      <c r="E3" s="17"/>
      <c r="F3" s="17"/>
      <c r="G3" s="72"/>
      <c r="H3" s="17"/>
      <c r="I3" s="17"/>
      <c r="J3" s="8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87"/>
      <c r="AG3" s="87"/>
      <c r="AH3" s="17"/>
      <c r="AI3" s="17"/>
    </row>
    <row r="4" spans="1:35" ht="12.75" customHeight="1" x14ac:dyDescent="0.25">
      <c r="A4" s="17"/>
      <c r="B4" s="17"/>
      <c r="C4" s="17"/>
      <c r="D4" s="17"/>
      <c r="E4" s="17"/>
      <c r="F4" s="17"/>
      <c r="G4" s="72"/>
      <c r="H4" s="17"/>
      <c r="I4" s="17"/>
      <c r="J4" s="8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87"/>
      <c r="AG4" s="87"/>
      <c r="AH4" s="17"/>
      <c r="AI4" s="17"/>
    </row>
    <row r="5" spans="1:35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44"/>
      <c r="AI5" s="242" t="s">
        <v>86</v>
      </c>
    </row>
    <row r="6" spans="1:35" ht="16.5" customHeight="1" x14ac:dyDescent="0.25">
      <c r="A6" s="206"/>
      <c r="B6" s="211"/>
      <c r="C6" s="196"/>
      <c r="D6" s="212"/>
      <c r="E6" s="104">
        <f>+May!AI6+1</f>
        <v>46174</v>
      </c>
      <c r="F6" s="103">
        <f>+E6+1</f>
        <v>46175</v>
      </c>
      <c r="G6" s="103">
        <f t="shared" ref="G6:AH6" si="0">+F6+1</f>
        <v>46176</v>
      </c>
      <c r="H6" s="122">
        <f t="shared" si="0"/>
        <v>46177</v>
      </c>
      <c r="I6" s="103">
        <f t="shared" si="0"/>
        <v>46178</v>
      </c>
      <c r="J6" s="103">
        <f t="shared" si="0"/>
        <v>46179</v>
      </c>
      <c r="K6" s="103">
        <f t="shared" si="0"/>
        <v>46180</v>
      </c>
      <c r="L6" s="103">
        <f t="shared" si="0"/>
        <v>46181</v>
      </c>
      <c r="M6" s="103">
        <f t="shared" si="0"/>
        <v>46182</v>
      </c>
      <c r="N6" s="103">
        <f t="shared" si="0"/>
        <v>46183</v>
      </c>
      <c r="O6" s="103">
        <f t="shared" si="0"/>
        <v>46184</v>
      </c>
      <c r="P6" s="103">
        <f t="shared" si="0"/>
        <v>46185</v>
      </c>
      <c r="Q6" s="103">
        <f t="shared" si="0"/>
        <v>46186</v>
      </c>
      <c r="R6" s="103">
        <f t="shared" si="0"/>
        <v>46187</v>
      </c>
      <c r="S6" s="103">
        <f t="shared" si="0"/>
        <v>46188</v>
      </c>
      <c r="T6" s="103">
        <f t="shared" si="0"/>
        <v>46189</v>
      </c>
      <c r="U6" s="103">
        <f t="shared" si="0"/>
        <v>46190</v>
      </c>
      <c r="V6" s="103">
        <f t="shared" si="0"/>
        <v>46191</v>
      </c>
      <c r="W6" s="103">
        <f t="shared" si="0"/>
        <v>46192</v>
      </c>
      <c r="X6" s="103">
        <f t="shared" si="0"/>
        <v>46193</v>
      </c>
      <c r="Y6" s="103">
        <f t="shared" si="0"/>
        <v>46194</v>
      </c>
      <c r="Z6" s="103">
        <f t="shared" si="0"/>
        <v>46195</v>
      </c>
      <c r="AA6" s="103">
        <f t="shared" si="0"/>
        <v>46196</v>
      </c>
      <c r="AB6" s="103">
        <f t="shared" si="0"/>
        <v>46197</v>
      </c>
      <c r="AC6" s="103">
        <f t="shared" si="0"/>
        <v>46198</v>
      </c>
      <c r="AD6" s="103">
        <f t="shared" si="0"/>
        <v>46199</v>
      </c>
      <c r="AE6" s="103">
        <f t="shared" si="0"/>
        <v>46200</v>
      </c>
      <c r="AF6" s="103">
        <f t="shared" si="0"/>
        <v>46201</v>
      </c>
      <c r="AG6" s="103">
        <f t="shared" si="0"/>
        <v>46202</v>
      </c>
      <c r="AH6" s="103">
        <f t="shared" si="0"/>
        <v>46203</v>
      </c>
      <c r="AI6" s="198"/>
    </row>
    <row r="7" spans="1:35" ht="16.5" customHeight="1" x14ac:dyDescent="0.25">
      <c r="A7" s="207"/>
      <c r="B7" s="213"/>
      <c r="C7" s="214"/>
      <c r="D7" s="215"/>
      <c r="E7" s="67" t="s">
        <v>128</v>
      </c>
      <c r="F7" s="19" t="str">
        <f t="shared" ref="F7:AH7" si="1">IF(E7="Mon","Tue",IF(E7="Tue","Wed",IF(E7="Wed","Thu",IF(E7="Thu","Fri",IF(E7="Fri","Sat",IF(E7="Sat","Sun",IF(E7="Sun","Mon")))))))</f>
        <v>Tue</v>
      </c>
      <c r="G7" s="68" t="str">
        <f t="shared" si="1"/>
        <v>Wed</v>
      </c>
      <c r="H7" s="123" t="str">
        <f t="shared" si="1"/>
        <v>Thu</v>
      </c>
      <c r="I7" s="19" t="str">
        <f t="shared" si="1"/>
        <v>Fri</v>
      </c>
      <c r="J7" s="37" t="str">
        <f t="shared" si="1"/>
        <v>Sat</v>
      </c>
      <c r="K7" s="19" t="str">
        <f t="shared" si="1"/>
        <v>Sun</v>
      </c>
      <c r="L7" s="19" t="str">
        <f t="shared" si="1"/>
        <v>Mon</v>
      </c>
      <c r="M7" s="19" t="str">
        <f t="shared" si="1"/>
        <v>Tue</v>
      </c>
      <c r="N7" s="19" t="str">
        <f t="shared" si="1"/>
        <v>Wed</v>
      </c>
      <c r="O7" s="19" t="str">
        <f t="shared" si="1"/>
        <v>Thu</v>
      </c>
      <c r="P7" s="19" t="str">
        <f t="shared" si="1"/>
        <v>Fri</v>
      </c>
      <c r="Q7" s="19" t="str">
        <f t="shared" si="1"/>
        <v>Sat</v>
      </c>
      <c r="R7" s="19" t="str">
        <f t="shared" si="1"/>
        <v>Sun</v>
      </c>
      <c r="S7" s="19" t="str">
        <f t="shared" si="1"/>
        <v>Mon</v>
      </c>
      <c r="T7" s="19" t="str">
        <f t="shared" si="1"/>
        <v>Tue</v>
      </c>
      <c r="U7" s="19" t="str">
        <f t="shared" si="1"/>
        <v>Wed</v>
      </c>
      <c r="V7" s="19" t="str">
        <f t="shared" si="1"/>
        <v>Thu</v>
      </c>
      <c r="W7" s="19" t="str">
        <f t="shared" si="1"/>
        <v>Fri</v>
      </c>
      <c r="X7" s="19" t="str">
        <f t="shared" si="1"/>
        <v>Sat</v>
      </c>
      <c r="Y7" s="19" t="str">
        <f t="shared" si="1"/>
        <v>Sun</v>
      </c>
      <c r="Z7" s="93" t="str">
        <f t="shared" si="1"/>
        <v>Mon</v>
      </c>
      <c r="AA7" s="37" t="str">
        <f t="shared" si="1"/>
        <v>Tue</v>
      </c>
      <c r="AB7" s="37" t="str">
        <f t="shared" si="1"/>
        <v>Wed</v>
      </c>
      <c r="AC7" s="19" t="str">
        <f t="shared" si="1"/>
        <v>Thu</v>
      </c>
      <c r="AD7" s="37" t="str">
        <f t="shared" si="1"/>
        <v>Fri</v>
      </c>
      <c r="AE7" s="19" t="str">
        <f t="shared" si="1"/>
        <v>Sat</v>
      </c>
      <c r="AF7" s="37" t="str">
        <f t="shared" si="1"/>
        <v>Sun</v>
      </c>
      <c r="AG7" s="37" t="str">
        <f t="shared" si="1"/>
        <v>Mon</v>
      </c>
      <c r="AH7" s="79" t="str">
        <f t="shared" si="1"/>
        <v>Tue</v>
      </c>
      <c r="AI7" s="199"/>
    </row>
    <row r="8" spans="1:35" ht="21" customHeight="1" x14ac:dyDescent="0.25">
      <c r="A8" s="20" t="s">
        <v>30</v>
      </c>
      <c r="B8" s="183" t="s">
        <v>90</v>
      </c>
      <c r="C8" s="184"/>
      <c r="D8" s="185"/>
      <c r="E8" s="37"/>
      <c r="F8" s="19"/>
      <c r="G8" s="68"/>
      <c r="H8" s="126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19"/>
      <c r="X8" s="68"/>
      <c r="Y8" s="68"/>
      <c r="Z8" s="92"/>
      <c r="AA8" s="68"/>
      <c r="AB8" s="68"/>
      <c r="AC8" s="68"/>
      <c r="AD8" s="68"/>
      <c r="AE8" s="68"/>
      <c r="AF8" s="68"/>
      <c r="AG8" s="68"/>
      <c r="AH8" s="68"/>
      <c r="AI8" s="38" t="s">
        <v>31</v>
      </c>
    </row>
    <row r="9" spans="1:35" ht="21" customHeight="1" x14ac:dyDescent="0.25">
      <c r="A9" s="20" t="s">
        <v>32</v>
      </c>
      <c r="B9" s="183" t="s">
        <v>91</v>
      </c>
      <c r="C9" s="184"/>
      <c r="D9" s="185"/>
      <c r="E9" s="37"/>
      <c r="F9" s="19"/>
      <c r="G9" s="68"/>
      <c r="H9" s="126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19"/>
      <c r="X9" s="68"/>
      <c r="Y9" s="68"/>
      <c r="Z9" s="92"/>
      <c r="AA9" s="68"/>
      <c r="AB9" s="68"/>
      <c r="AC9" s="68"/>
      <c r="AD9" s="68"/>
      <c r="AE9" s="68"/>
      <c r="AF9" s="68"/>
      <c r="AG9" s="68"/>
      <c r="AH9" s="68"/>
      <c r="AI9" s="38" t="s">
        <v>31</v>
      </c>
    </row>
    <row r="10" spans="1:35" ht="21" customHeight="1" x14ac:dyDescent="0.25">
      <c r="A10" s="186" t="s">
        <v>33</v>
      </c>
      <c r="B10" s="238" t="s">
        <v>93</v>
      </c>
      <c r="C10" s="239"/>
      <c r="D10" s="19" t="s">
        <v>88</v>
      </c>
      <c r="E10" s="37"/>
      <c r="F10" s="19"/>
      <c r="G10" s="68"/>
      <c r="H10" s="123"/>
      <c r="I10" s="19"/>
      <c r="J10" s="3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93"/>
      <c r="AA10" s="37"/>
      <c r="AB10" s="46"/>
      <c r="AC10" s="19"/>
      <c r="AD10" s="37"/>
      <c r="AE10" s="37"/>
      <c r="AF10" s="37"/>
      <c r="AG10" s="46"/>
      <c r="AH10" s="79"/>
      <c r="AI10" s="38" t="s">
        <v>31</v>
      </c>
    </row>
    <row r="11" spans="1:35" ht="21" customHeight="1" x14ac:dyDescent="0.25">
      <c r="A11" s="187"/>
      <c r="B11" s="240"/>
      <c r="C11" s="241"/>
      <c r="D11" s="22" t="s">
        <v>89</v>
      </c>
      <c r="E11" s="39"/>
      <c r="F11" s="22"/>
      <c r="G11" s="69"/>
      <c r="H11" s="124"/>
      <c r="I11" s="22"/>
      <c r="J11" s="3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94"/>
      <c r="AA11" s="39"/>
      <c r="AB11" s="47"/>
      <c r="AC11" s="22"/>
      <c r="AD11" s="39"/>
      <c r="AE11" s="39"/>
      <c r="AF11" s="39"/>
      <c r="AG11" s="47"/>
      <c r="AH11" s="80"/>
      <c r="AI11" s="40" t="s">
        <v>31</v>
      </c>
    </row>
    <row r="12" spans="1:35" ht="21" customHeight="1" thickTop="1" thickBot="1" x14ac:dyDescent="0.3">
      <c r="A12" s="25" t="s">
        <v>34</v>
      </c>
      <c r="B12" s="192" t="s">
        <v>94</v>
      </c>
      <c r="C12" s="193"/>
      <c r="D12" s="194"/>
      <c r="E12" s="41">
        <f t="shared" ref="E12:AH12" si="2">E9-E8</f>
        <v>0</v>
      </c>
      <c r="F12" s="27">
        <f t="shared" si="2"/>
        <v>0</v>
      </c>
      <c r="G12" s="70">
        <f t="shared" si="2"/>
        <v>0</v>
      </c>
      <c r="H12" s="76">
        <f t="shared" si="2"/>
        <v>0</v>
      </c>
      <c r="I12" s="27">
        <f t="shared" si="2"/>
        <v>0</v>
      </c>
      <c r="J12" s="41">
        <f t="shared" si="2"/>
        <v>0</v>
      </c>
      <c r="K12" s="27">
        <f t="shared" si="2"/>
        <v>0</v>
      </c>
      <c r="L12" s="27">
        <f t="shared" si="2"/>
        <v>0</v>
      </c>
      <c r="M12" s="27">
        <f t="shared" si="2"/>
        <v>0</v>
      </c>
      <c r="N12" s="27">
        <f t="shared" si="2"/>
        <v>0</v>
      </c>
      <c r="O12" s="27">
        <f t="shared" si="2"/>
        <v>0</v>
      </c>
      <c r="P12" s="27">
        <f t="shared" si="2"/>
        <v>0</v>
      </c>
      <c r="Q12" s="27">
        <f t="shared" si="2"/>
        <v>0</v>
      </c>
      <c r="R12" s="27">
        <f t="shared" si="2"/>
        <v>0</v>
      </c>
      <c r="S12" s="27">
        <f t="shared" si="2"/>
        <v>0</v>
      </c>
      <c r="T12" s="27">
        <f t="shared" si="2"/>
        <v>0</v>
      </c>
      <c r="U12" s="27">
        <f t="shared" si="2"/>
        <v>0</v>
      </c>
      <c r="V12" s="27">
        <f t="shared" si="2"/>
        <v>0</v>
      </c>
      <c r="W12" s="27">
        <f t="shared" si="2"/>
        <v>0</v>
      </c>
      <c r="X12" s="27">
        <f t="shared" si="2"/>
        <v>0</v>
      </c>
      <c r="Y12" s="27">
        <f t="shared" si="2"/>
        <v>0</v>
      </c>
      <c r="Z12" s="95">
        <f t="shared" si="2"/>
        <v>0</v>
      </c>
      <c r="AA12" s="41">
        <f t="shared" si="2"/>
        <v>0</v>
      </c>
      <c r="AB12" s="41">
        <f t="shared" si="2"/>
        <v>0</v>
      </c>
      <c r="AC12" s="27">
        <f t="shared" si="2"/>
        <v>0</v>
      </c>
      <c r="AD12" s="41">
        <f t="shared" si="2"/>
        <v>0</v>
      </c>
      <c r="AE12" s="41">
        <f t="shared" si="2"/>
        <v>0</v>
      </c>
      <c r="AF12" s="41">
        <f t="shared" si="2"/>
        <v>0</v>
      </c>
      <c r="AG12" s="41">
        <f t="shared" si="2"/>
        <v>0</v>
      </c>
      <c r="AH12" s="81">
        <f t="shared" si="2"/>
        <v>0</v>
      </c>
      <c r="AI12" s="88">
        <f t="shared" ref="AI12:AI40" si="3">SUM(E12:AH12)</f>
        <v>0</v>
      </c>
    </row>
    <row r="13" spans="1:35" ht="21" customHeight="1" thickTop="1" x14ac:dyDescent="0.25">
      <c r="A13" s="28" t="s">
        <v>35</v>
      </c>
      <c r="B13" s="216" t="s">
        <v>80</v>
      </c>
      <c r="C13" s="231"/>
      <c r="D13" s="217"/>
      <c r="E13" s="42"/>
      <c r="F13" s="30"/>
      <c r="G13" s="71"/>
      <c r="H13" s="125"/>
      <c r="I13" s="30"/>
      <c r="J13" s="42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96"/>
      <c r="AA13" s="42"/>
      <c r="AB13" s="48"/>
      <c r="AC13" s="30"/>
      <c r="AD13" s="42"/>
      <c r="AE13" s="42"/>
      <c r="AF13" s="42"/>
      <c r="AG13" s="48"/>
      <c r="AH13" s="83"/>
      <c r="AI13" s="89">
        <f t="shared" si="3"/>
        <v>0</v>
      </c>
    </row>
    <row r="14" spans="1:35" ht="21" customHeight="1" x14ac:dyDescent="0.25">
      <c r="A14" s="20" t="s">
        <v>36</v>
      </c>
      <c r="B14" s="183" t="s">
        <v>95</v>
      </c>
      <c r="C14" s="184"/>
      <c r="D14" s="185"/>
      <c r="E14" s="37"/>
      <c r="F14" s="19"/>
      <c r="G14" s="68"/>
      <c r="H14" s="123"/>
      <c r="I14" s="19"/>
      <c r="J14" s="37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93"/>
      <c r="AA14" s="37"/>
      <c r="AB14" s="46"/>
      <c r="AC14" s="19"/>
      <c r="AD14" s="37"/>
      <c r="AE14" s="37"/>
      <c r="AF14" s="37"/>
      <c r="AG14" s="46"/>
      <c r="AH14" s="79"/>
      <c r="AI14" s="38">
        <f t="shared" si="3"/>
        <v>0</v>
      </c>
    </row>
    <row r="15" spans="1:35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37"/>
      <c r="F15" s="19"/>
      <c r="G15" s="68"/>
      <c r="H15" s="123"/>
      <c r="I15" s="19"/>
      <c r="J15" s="37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93"/>
      <c r="AA15" s="37"/>
      <c r="AB15" s="46"/>
      <c r="AC15" s="19"/>
      <c r="AD15" s="37"/>
      <c r="AE15" s="37"/>
      <c r="AF15" s="37"/>
      <c r="AG15" s="46"/>
      <c r="AH15" s="79"/>
      <c r="AI15" s="38">
        <f t="shared" si="3"/>
        <v>0</v>
      </c>
    </row>
    <row r="16" spans="1:35" ht="21" customHeight="1" x14ac:dyDescent="0.25">
      <c r="A16" s="20"/>
      <c r="B16" s="220"/>
      <c r="C16" s="220"/>
      <c r="D16" s="140" t="s">
        <v>97</v>
      </c>
      <c r="E16" s="37"/>
      <c r="F16" s="19"/>
      <c r="G16" s="68"/>
      <c r="H16" s="123"/>
      <c r="I16" s="19"/>
      <c r="J16" s="37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93"/>
      <c r="AA16" s="37"/>
      <c r="AB16" s="46"/>
      <c r="AC16" s="19"/>
      <c r="AD16" s="37"/>
      <c r="AE16" s="37"/>
      <c r="AF16" s="37"/>
      <c r="AG16" s="46"/>
      <c r="AH16" s="79"/>
      <c r="AI16" s="38">
        <f t="shared" si="3"/>
        <v>0</v>
      </c>
    </row>
    <row r="17" spans="1:35" ht="21" customHeight="1" x14ac:dyDescent="0.25">
      <c r="A17" s="20"/>
      <c r="B17" s="220"/>
      <c r="C17" s="232"/>
      <c r="D17" s="140" t="s">
        <v>98</v>
      </c>
      <c r="E17" s="37"/>
      <c r="F17" s="19"/>
      <c r="G17" s="68"/>
      <c r="H17" s="123"/>
      <c r="I17" s="19"/>
      <c r="J17" s="37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93"/>
      <c r="AA17" s="37"/>
      <c r="AB17" s="46"/>
      <c r="AC17" s="19"/>
      <c r="AD17" s="37"/>
      <c r="AE17" s="37"/>
      <c r="AF17" s="37"/>
      <c r="AG17" s="46"/>
      <c r="AH17" s="79"/>
      <c r="AI17" s="38">
        <f t="shared" si="3"/>
        <v>0</v>
      </c>
    </row>
    <row r="18" spans="1:35" ht="21" customHeight="1" x14ac:dyDescent="0.25">
      <c r="A18" s="20"/>
      <c r="B18" s="220"/>
      <c r="C18" s="183" t="s">
        <v>100</v>
      </c>
      <c r="D18" s="185"/>
      <c r="E18" s="37"/>
      <c r="F18" s="19"/>
      <c r="G18" s="68"/>
      <c r="H18" s="123">
        <v>8</v>
      </c>
      <c r="I18" s="19"/>
      <c r="J18" s="37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93">
        <v>8</v>
      </c>
      <c r="AA18" s="37"/>
      <c r="AB18" s="46"/>
      <c r="AC18" s="19"/>
      <c r="AD18" s="37"/>
      <c r="AE18" s="37"/>
      <c r="AF18" s="37"/>
      <c r="AG18" s="46"/>
      <c r="AH18" s="79"/>
      <c r="AI18" s="38">
        <f t="shared" si="3"/>
        <v>16</v>
      </c>
    </row>
    <row r="19" spans="1:35" ht="30" customHeight="1" x14ac:dyDescent="0.25">
      <c r="A19" s="20"/>
      <c r="B19" s="220"/>
      <c r="C19" s="224" t="s">
        <v>105</v>
      </c>
      <c r="D19" s="185"/>
      <c r="E19" s="37"/>
      <c r="F19" s="19"/>
      <c r="G19" s="68"/>
      <c r="H19" s="123"/>
      <c r="I19" s="19"/>
      <c r="J19" s="37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93"/>
      <c r="AA19" s="37"/>
      <c r="AB19" s="46"/>
      <c r="AC19" s="19"/>
      <c r="AD19" s="37"/>
      <c r="AE19" s="37"/>
      <c r="AF19" s="37"/>
      <c r="AG19" s="46"/>
      <c r="AH19" s="79"/>
      <c r="AI19" s="38">
        <f t="shared" si="3"/>
        <v>0</v>
      </c>
    </row>
    <row r="20" spans="1:35" ht="21" customHeight="1" x14ac:dyDescent="0.25">
      <c r="A20" s="20"/>
      <c r="B20" s="220"/>
      <c r="C20" s="183" t="s">
        <v>106</v>
      </c>
      <c r="D20" s="185"/>
      <c r="E20" s="37"/>
      <c r="F20" s="19"/>
      <c r="G20" s="68"/>
      <c r="H20" s="123"/>
      <c r="I20" s="19"/>
      <c r="J20" s="37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93"/>
      <c r="AA20" s="37"/>
      <c r="AB20" s="46"/>
      <c r="AC20" s="19"/>
      <c r="AD20" s="37"/>
      <c r="AE20" s="37"/>
      <c r="AF20" s="37"/>
      <c r="AG20" s="46"/>
      <c r="AH20" s="79"/>
      <c r="AI20" s="38">
        <f t="shared" si="3"/>
        <v>0</v>
      </c>
    </row>
    <row r="21" spans="1:35" ht="21" customHeight="1" x14ac:dyDescent="0.25">
      <c r="A21" s="20"/>
      <c r="B21" s="220"/>
      <c r="C21" s="183" t="s">
        <v>107</v>
      </c>
      <c r="D21" s="185"/>
      <c r="E21" s="37"/>
      <c r="F21" s="19"/>
      <c r="G21" s="68"/>
      <c r="H21" s="123"/>
      <c r="I21" s="19"/>
      <c r="J21" s="37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93"/>
      <c r="AA21" s="37"/>
      <c r="AB21" s="46"/>
      <c r="AC21" s="19"/>
      <c r="AD21" s="37"/>
      <c r="AE21" s="37"/>
      <c r="AF21" s="37"/>
      <c r="AG21" s="46"/>
      <c r="AH21" s="79"/>
      <c r="AI21" s="38">
        <f t="shared" si="3"/>
        <v>0</v>
      </c>
    </row>
    <row r="22" spans="1:35" ht="21" customHeight="1" x14ac:dyDescent="0.25">
      <c r="A22" s="20"/>
      <c r="B22" s="220"/>
      <c r="C22" s="183" t="s">
        <v>108</v>
      </c>
      <c r="D22" s="185"/>
      <c r="E22" s="37"/>
      <c r="F22" s="19"/>
      <c r="G22" s="68"/>
      <c r="H22" s="123"/>
      <c r="I22" s="19"/>
      <c r="J22" s="37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93"/>
      <c r="AA22" s="37"/>
      <c r="AB22" s="46"/>
      <c r="AC22" s="19"/>
      <c r="AD22" s="37"/>
      <c r="AE22" s="37"/>
      <c r="AF22" s="37"/>
      <c r="AG22" s="46"/>
      <c r="AH22" s="79"/>
      <c r="AI22" s="38">
        <f t="shared" si="3"/>
        <v>0</v>
      </c>
    </row>
    <row r="23" spans="1:35" ht="21" customHeight="1" x14ac:dyDescent="0.25">
      <c r="A23" s="20"/>
      <c r="B23" s="220"/>
      <c r="C23" s="229" t="s">
        <v>122</v>
      </c>
      <c r="D23" s="230"/>
      <c r="E23" s="37"/>
      <c r="F23" s="19"/>
      <c r="G23" s="68"/>
      <c r="H23" s="123"/>
      <c r="I23" s="19"/>
      <c r="J23" s="37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93"/>
      <c r="AA23" s="37"/>
      <c r="AB23" s="46"/>
      <c r="AC23" s="19"/>
      <c r="AD23" s="37"/>
      <c r="AE23" s="37"/>
      <c r="AF23" s="37"/>
      <c r="AG23" s="46"/>
      <c r="AH23" s="79"/>
      <c r="AI23" s="38">
        <f t="shared" si="3"/>
        <v>0</v>
      </c>
    </row>
    <row r="24" spans="1:35" ht="21" customHeight="1" x14ac:dyDescent="0.25">
      <c r="A24" s="20"/>
      <c r="B24" s="220"/>
      <c r="C24" s="183" t="s">
        <v>113</v>
      </c>
      <c r="D24" s="185"/>
      <c r="E24" s="37"/>
      <c r="F24" s="19"/>
      <c r="G24" s="68"/>
      <c r="H24" s="123"/>
      <c r="I24" s="19"/>
      <c r="J24" s="37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93"/>
      <c r="AA24" s="37"/>
      <c r="AB24" s="46"/>
      <c r="AC24" s="19"/>
      <c r="AD24" s="37"/>
      <c r="AE24" s="37"/>
      <c r="AF24" s="37"/>
      <c r="AG24" s="46"/>
      <c r="AH24" s="79"/>
      <c r="AI24" s="38">
        <f t="shared" si="3"/>
        <v>0</v>
      </c>
    </row>
    <row r="25" spans="1:35" ht="30" customHeight="1" x14ac:dyDescent="0.25">
      <c r="A25" s="20"/>
      <c r="B25" s="220"/>
      <c r="C25" s="224" t="s">
        <v>114</v>
      </c>
      <c r="D25" s="185"/>
      <c r="E25" s="37"/>
      <c r="F25" s="19"/>
      <c r="G25" s="68"/>
      <c r="H25" s="123"/>
      <c r="I25" s="19"/>
      <c r="J25" s="37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93"/>
      <c r="AA25" s="37"/>
      <c r="AB25" s="46"/>
      <c r="AC25" s="19"/>
      <c r="AD25" s="37"/>
      <c r="AE25" s="37"/>
      <c r="AF25" s="37"/>
      <c r="AG25" s="46"/>
      <c r="AH25" s="79"/>
      <c r="AI25" s="38">
        <f t="shared" si="3"/>
        <v>0</v>
      </c>
    </row>
    <row r="26" spans="1:35" ht="21" customHeight="1" x14ac:dyDescent="0.25">
      <c r="A26" s="20"/>
      <c r="B26" s="220"/>
      <c r="C26" s="183" t="s">
        <v>115</v>
      </c>
      <c r="D26" s="185"/>
      <c r="E26" s="37"/>
      <c r="F26" s="19"/>
      <c r="G26" s="68"/>
      <c r="H26" s="123"/>
      <c r="I26" s="19"/>
      <c r="J26" s="37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93"/>
      <c r="AA26" s="37"/>
      <c r="AB26" s="46"/>
      <c r="AC26" s="19"/>
      <c r="AD26" s="37"/>
      <c r="AE26" s="37"/>
      <c r="AF26" s="37"/>
      <c r="AG26" s="46"/>
      <c r="AH26" s="79"/>
      <c r="AI26" s="38">
        <f t="shared" si="3"/>
        <v>0</v>
      </c>
    </row>
    <row r="27" spans="1:35" ht="21" customHeight="1" x14ac:dyDescent="0.25">
      <c r="A27" s="20"/>
      <c r="B27" s="220"/>
      <c r="C27" s="183" t="s">
        <v>116</v>
      </c>
      <c r="D27" s="185"/>
      <c r="E27" s="37"/>
      <c r="F27" s="19"/>
      <c r="G27" s="68"/>
      <c r="H27" s="123"/>
      <c r="I27" s="19"/>
      <c r="J27" s="37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93"/>
      <c r="AA27" s="37"/>
      <c r="AB27" s="46"/>
      <c r="AC27" s="19"/>
      <c r="AD27" s="37"/>
      <c r="AE27" s="37"/>
      <c r="AF27" s="37"/>
      <c r="AG27" s="46"/>
      <c r="AH27" s="79"/>
      <c r="AI27" s="38">
        <f t="shared" si="3"/>
        <v>0</v>
      </c>
    </row>
    <row r="28" spans="1:35" ht="21" customHeight="1" x14ac:dyDescent="0.25">
      <c r="A28" s="20"/>
      <c r="B28" s="220"/>
      <c r="C28" s="225" t="s">
        <v>121</v>
      </c>
      <c r="D28" s="226"/>
      <c r="E28" s="37"/>
      <c r="F28" s="19"/>
      <c r="G28" s="68"/>
      <c r="H28" s="123"/>
      <c r="I28" s="19"/>
      <c r="J28" s="37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93"/>
      <c r="AA28" s="37"/>
      <c r="AB28" s="46"/>
      <c r="AC28" s="19"/>
      <c r="AD28" s="37"/>
      <c r="AE28" s="37"/>
      <c r="AF28" s="37"/>
      <c r="AG28" s="46"/>
      <c r="AH28" s="79"/>
      <c r="AI28" s="38">
        <f t="shared" si="3"/>
        <v>0</v>
      </c>
    </row>
    <row r="29" spans="1:35" ht="21" customHeight="1" x14ac:dyDescent="0.25">
      <c r="A29" s="20"/>
      <c r="B29" s="220"/>
      <c r="C29" s="183" t="s">
        <v>120</v>
      </c>
      <c r="D29" s="228"/>
      <c r="E29" s="37"/>
      <c r="F29" s="19"/>
      <c r="G29" s="68"/>
      <c r="H29" s="123"/>
      <c r="I29" s="19"/>
      <c r="J29" s="37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93"/>
      <c r="AA29" s="37"/>
      <c r="AB29" s="46"/>
      <c r="AC29" s="19"/>
      <c r="AD29" s="37"/>
      <c r="AE29" s="37"/>
      <c r="AF29" s="37"/>
      <c r="AG29" s="46"/>
      <c r="AH29" s="79"/>
      <c r="AI29" s="38">
        <f t="shared" si="3"/>
        <v>0</v>
      </c>
    </row>
    <row r="30" spans="1:35" ht="21" customHeight="1" x14ac:dyDescent="0.25">
      <c r="A30" s="20"/>
      <c r="B30" s="220"/>
      <c r="C30" s="183" t="s">
        <v>117</v>
      </c>
      <c r="D30" s="185"/>
      <c r="E30" s="37"/>
      <c r="F30" s="19"/>
      <c r="G30" s="68"/>
      <c r="H30" s="123"/>
      <c r="I30" s="19"/>
      <c r="J30" s="37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93"/>
      <c r="AA30" s="37"/>
      <c r="AB30" s="46"/>
      <c r="AC30" s="19"/>
      <c r="AD30" s="37"/>
      <c r="AE30" s="37"/>
      <c r="AF30" s="37"/>
      <c r="AG30" s="46"/>
      <c r="AH30" s="79"/>
      <c r="AI30" s="38">
        <f t="shared" si="3"/>
        <v>0</v>
      </c>
    </row>
    <row r="31" spans="1:35" ht="21" customHeight="1" x14ac:dyDescent="0.25">
      <c r="A31" s="20"/>
      <c r="B31" s="220"/>
      <c r="C31" s="183" t="s">
        <v>118</v>
      </c>
      <c r="D31" s="185"/>
      <c r="E31" s="37"/>
      <c r="F31" s="19"/>
      <c r="G31" s="68"/>
      <c r="H31" s="123"/>
      <c r="I31" s="19"/>
      <c r="J31" s="37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93"/>
      <c r="AA31" s="37"/>
      <c r="AB31" s="46"/>
      <c r="AC31" s="19"/>
      <c r="AD31" s="37"/>
      <c r="AE31" s="37"/>
      <c r="AF31" s="37"/>
      <c r="AG31" s="46"/>
      <c r="AH31" s="79"/>
      <c r="AI31" s="38">
        <f t="shared" si="3"/>
        <v>0</v>
      </c>
    </row>
    <row r="32" spans="1:35" ht="21" customHeight="1" x14ac:dyDescent="0.25">
      <c r="A32" s="20"/>
      <c r="B32" s="220"/>
      <c r="C32" s="183" t="s">
        <v>119</v>
      </c>
      <c r="D32" s="228"/>
      <c r="E32" s="37"/>
      <c r="F32" s="19"/>
      <c r="G32" s="68"/>
      <c r="H32" s="123"/>
      <c r="I32" s="19"/>
      <c r="J32" s="37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93"/>
      <c r="AA32" s="37"/>
      <c r="AB32" s="46"/>
      <c r="AC32" s="19"/>
      <c r="AD32" s="37"/>
      <c r="AE32" s="37"/>
      <c r="AF32" s="37"/>
      <c r="AG32" s="46"/>
      <c r="AH32" s="79"/>
      <c r="AI32" s="38">
        <f t="shared" si="3"/>
        <v>0</v>
      </c>
    </row>
    <row r="33" spans="1:35" ht="21" customHeight="1" x14ac:dyDescent="0.25">
      <c r="A33" s="20"/>
      <c r="B33" s="220"/>
      <c r="C33" s="183" t="s">
        <v>111</v>
      </c>
      <c r="D33" s="185"/>
      <c r="E33" s="37"/>
      <c r="F33" s="19"/>
      <c r="G33" s="68"/>
      <c r="H33" s="123"/>
      <c r="I33" s="19"/>
      <c r="J33" s="37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93"/>
      <c r="AA33" s="37"/>
      <c r="AB33" s="46"/>
      <c r="AC33" s="19"/>
      <c r="AD33" s="37"/>
      <c r="AE33" s="37"/>
      <c r="AF33" s="37"/>
      <c r="AG33" s="46"/>
      <c r="AH33" s="79"/>
      <c r="AI33" s="38">
        <f t="shared" si="3"/>
        <v>0</v>
      </c>
    </row>
    <row r="34" spans="1:35" ht="21" customHeight="1" thickBot="1" x14ac:dyDescent="0.3">
      <c r="A34" s="31"/>
      <c r="B34" s="221"/>
      <c r="C34" s="222" t="s">
        <v>112</v>
      </c>
      <c r="D34" s="223"/>
      <c r="E34" s="39"/>
      <c r="F34" s="22"/>
      <c r="G34" s="69"/>
      <c r="H34" s="124"/>
      <c r="I34" s="22"/>
      <c r="J34" s="39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94"/>
      <c r="AA34" s="39"/>
      <c r="AB34" s="47"/>
      <c r="AC34" s="22"/>
      <c r="AD34" s="39"/>
      <c r="AE34" s="39"/>
      <c r="AF34" s="39"/>
      <c r="AG34" s="47"/>
      <c r="AH34" s="80"/>
      <c r="AI34" s="40">
        <f t="shared" si="3"/>
        <v>0</v>
      </c>
    </row>
    <row r="35" spans="1:35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42"/>
      <c r="F35" s="30"/>
      <c r="G35" s="71"/>
      <c r="H35" s="125"/>
      <c r="I35" s="30"/>
      <c r="J35" s="42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96"/>
      <c r="AA35" s="42"/>
      <c r="AB35" s="48"/>
      <c r="AC35" s="30"/>
      <c r="AD35" s="42"/>
      <c r="AE35" s="42"/>
      <c r="AF35" s="42"/>
      <c r="AG35" s="48"/>
      <c r="AH35" s="83"/>
      <c r="AI35" s="89">
        <f t="shared" si="3"/>
        <v>0</v>
      </c>
    </row>
    <row r="36" spans="1:35" ht="21" customHeight="1" x14ac:dyDescent="0.25">
      <c r="A36" s="206"/>
      <c r="B36" s="220"/>
      <c r="C36" s="183" t="s">
        <v>102</v>
      </c>
      <c r="D36" s="185"/>
      <c r="E36" s="37"/>
      <c r="F36" s="19"/>
      <c r="G36" s="68"/>
      <c r="H36" s="123"/>
      <c r="I36" s="19"/>
      <c r="J36" s="37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93"/>
      <c r="AA36" s="37"/>
      <c r="AB36" s="46"/>
      <c r="AC36" s="19"/>
      <c r="AD36" s="37"/>
      <c r="AE36" s="37"/>
      <c r="AF36" s="37"/>
      <c r="AG36" s="46"/>
      <c r="AH36" s="79"/>
      <c r="AI36" s="38">
        <f t="shared" si="3"/>
        <v>0</v>
      </c>
    </row>
    <row r="37" spans="1:35" ht="21" customHeight="1" thickBot="1" x14ac:dyDescent="0.3">
      <c r="A37" s="187"/>
      <c r="B37" s="221"/>
      <c r="C37" s="222" t="s">
        <v>103</v>
      </c>
      <c r="D37" s="223"/>
      <c r="E37" s="39"/>
      <c r="F37" s="22"/>
      <c r="G37" s="69"/>
      <c r="H37" s="124"/>
      <c r="I37" s="22"/>
      <c r="J37" s="39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94"/>
      <c r="AA37" s="39"/>
      <c r="AB37" s="47"/>
      <c r="AC37" s="22"/>
      <c r="AD37" s="39"/>
      <c r="AE37" s="39"/>
      <c r="AF37" s="39"/>
      <c r="AG37" s="47"/>
      <c r="AH37" s="80"/>
      <c r="AI37" s="40">
        <f t="shared" si="3"/>
        <v>0</v>
      </c>
    </row>
    <row r="38" spans="1:35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42"/>
      <c r="F38" s="30"/>
      <c r="G38" s="71"/>
      <c r="H38" s="125"/>
      <c r="I38" s="30"/>
      <c r="J38" s="42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96"/>
      <c r="AA38" s="42"/>
      <c r="AB38" s="48"/>
      <c r="AC38" s="30"/>
      <c r="AD38" s="42"/>
      <c r="AE38" s="42"/>
      <c r="AF38" s="42"/>
      <c r="AG38" s="48"/>
      <c r="AH38" s="83"/>
      <c r="AI38" s="89">
        <f t="shared" si="3"/>
        <v>0</v>
      </c>
    </row>
    <row r="39" spans="1:35" ht="21" customHeight="1" x14ac:dyDescent="0.25">
      <c r="A39" s="206"/>
      <c r="B39" s="220"/>
      <c r="C39" s="183" t="s">
        <v>102</v>
      </c>
      <c r="D39" s="185"/>
      <c r="E39" s="37"/>
      <c r="F39" s="19"/>
      <c r="G39" s="68"/>
      <c r="H39" s="123"/>
      <c r="I39" s="19"/>
      <c r="J39" s="37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93"/>
      <c r="AA39" s="37"/>
      <c r="AB39" s="46"/>
      <c r="AC39" s="19"/>
      <c r="AD39" s="37"/>
      <c r="AE39" s="37"/>
      <c r="AF39" s="37"/>
      <c r="AG39" s="46"/>
      <c r="AH39" s="79"/>
      <c r="AI39" s="38">
        <f t="shared" si="3"/>
        <v>0</v>
      </c>
    </row>
    <row r="40" spans="1:35" ht="21" customHeight="1" thickBot="1" x14ac:dyDescent="0.3">
      <c r="A40" s="187"/>
      <c r="B40" s="221"/>
      <c r="C40" s="222" t="s">
        <v>103</v>
      </c>
      <c r="D40" s="223"/>
      <c r="E40" s="39"/>
      <c r="F40" s="22"/>
      <c r="G40" s="69"/>
      <c r="H40" s="124"/>
      <c r="I40" s="22"/>
      <c r="J40" s="39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94"/>
      <c r="AA40" s="39"/>
      <c r="AB40" s="39"/>
      <c r="AC40" s="22"/>
      <c r="AD40" s="39"/>
      <c r="AE40" s="39"/>
      <c r="AF40" s="39"/>
      <c r="AG40" s="49"/>
      <c r="AH40" s="85"/>
      <c r="AI40" s="90">
        <f t="shared" si="3"/>
        <v>0</v>
      </c>
    </row>
    <row r="41" spans="1:35" ht="12.75" customHeight="1" thickTop="1" x14ac:dyDescent="0.25">
      <c r="A41" s="17"/>
      <c r="B41" s="17"/>
      <c r="C41" s="17"/>
      <c r="D41" s="17"/>
      <c r="E41" s="17"/>
      <c r="F41" s="17"/>
      <c r="G41" s="72"/>
      <c r="H41" s="17"/>
      <c r="I41" s="17"/>
      <c r="J41" s="8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6"/>
      <c r="AI41" s="33">
        <f>SUM(AI12:AI40)</f>
        <v>16</v>
      </c>
    </row>
    <row r="42" spans="1:35" ht="12.75" customHeight="1" x14ac:dyDescent="0.25">
      <c r="A42" s="34" t="s">
        <v>125</v>
      </c>
      <c r="B42" s="34"/>
      <c r="C42" s="34"/>
      <c r="D42" s="34"/>
      <c r="E42" s="17"/>
      <c r="F42" s="17"/>
      <c r="G42" s="72"/>
      <c r="H42" s="17"/>
      <c r="I42" s="17"/>
      <c r="J42" s="8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87"/>
      <c r="AG42" s="87"/>
      <c r="AH42" s="17"/>
      <c r="AI42" s="17"/>
    </row>
    <row r="43" spans="1:35" ht="12.75" customHeight="1" x14ac:dyDescent="0.25">
      <c r="A43" s="35" t="s">
        <v>126</v>
      </c>
      <c r="B43" s="34"/>
      <c r="C43" s="34"/>
      <c r="D43" s="34"/>
      <c r="E43" s="17"/>
      <c r="F43" s="17"/>
      <c r="G43" s="72"/>
      <c r="H43" s="17"/>
      <c r="I43" s="17" t="s">
        <v>123</v>
      </c>
      <c r="J43" s="8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</row>
    <row r="44" spans="1:35" ht="24" customHeight="1" x14ac:dyDescent="0.25">
      <c r="A44" s="237" t="s">
        <v>127</v>
      </c>
      <c r="B44" s="196"/>
      <c r="C44" s="196"/>
      <c r="D44" s="196"/>
      <c r="E44" s="34"/>
      <c r="F44" s="34"/>
      <c r="G44" s="73"/>
      <c r="H44" s="17"/>
      <c r="I44" s="17"/>
      <c r="J44" s="8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87"/>
      <c r="AG44" s="87"/>
      <c r="AH44" s="17"/>
      <c r="AI44" s="17"/>
    </row>
    <row r="45" spans="1:35" ht="12.75" customHeight="1" x14ac:dyDescent="0.25">
      <c r="A45" s="17"/>
      <c r="B45" s="17"/>
      <c r="C45" s="17"/>
      <c r="D45" s="17"/>
      <c r="E45" s="17"/>
      <c r="F45" s="17"/>
      <c r="G45" s="72"/>
      <c r="H45" s="17"/>
      <c r="I45" s="17"/>
      <c r="J45" s="8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87"/>
      <c r="AG45" s="87"/>
      <c r="AH45" s="17"/>
      <c r="AI45" s="17"/>
    </row>
    <row r="46" spans="1:35" ht="12.75" customHeight="1" x14ac:dyDescent="0.25">
      <c r="A46" s="17"/>
      <c r="B46" s="17"/>
      <c r="C46" s="17"/>
      <c r="D46" s="17"/>
      <c r="E46" s="17"/>
      <c r="F46" s="17"/>
      <c r="G46" s="72"/>
      <c r="H46" s="17"/>
      <c r="I46" s="17"/>
      <c r="J46" s="8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87"/>
      <c r="AG46" s="87"/>
      <c r="AH46" s="17"/>
      <c r="AI46" s="17"/>
    </row>
    <row r="47" spans="1:35" ht="12.75" customHeight="1" x14ac:dyDescent="0.25">
      <c r="A47" s="17"/>
      <c r="B47" s="17"/>
      <c r="C47" s="17"/>
      <c r="D47" s="17"/>
      <c r="E47" s="17"/>
      <c r="F47" s="17"/>
      <c r="G47" s="72"/>
      <c r="H47" s="17"/>
      <c r="I47" s="17"/>
      <c r="J47" s="8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87"/>
      <c r="AG47" s="87"/>
      <c r="AH47" s="17"/>
      <c r="AI47" s="17"/>
    </row>
    <row r="48" spans="1:35" ht="12.75" customHeight="1" x14ac:dyDescent="0.25">
      <c r="A48" s="17"/>
      <c r="B48" s="17"/>
      <c r="C48" s="17"/>
      <c r="D48" s="17"/>
      <c r="E48" s="17"/>
      <c r="F48" s="17"/>
      <c r="G48" s="72"/>
      <c r="H48" s="17"/>
      <c r="I48" s="17"/>
      <c r="J48" s="8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87"/>
      <c r="AG48" s="87"/>
      <c r="AH48" s="17"/>
      <c r="AI48" s="17"/>
    </row>
    <row r="49" spans="1:35" ht="12.75" customHeight="1" x14ac:dyDescent="0.25">
      <c r="A49" s="17"/>
      <c r="B49" s="17"/>
      <c r="C49" s="17"/>
      <c r="D49" s="17"/>
      <c r="E49" s="17"/>
      <c r="F49" s="17"/>
      <c r="G49" s="72"/>
      <c r="H49" s="17"/>
      <c r="I49" s="17"/>
      <c r="J49" s="8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87"/>
      <c r="AG49" s="87"/>
      <c r="AH49" s="17"/>
      <c r="AI49" s="17"/>
    </row>
    <row r="50" spans="1:35" ht="12.75" customHeight="1" x14ac:dyDescent="0.25">
      <c r="A50" s="17"/>
      <c r="B50" s="17"/>
      <c r="C50" s="17"/>
      <c r="D50" s="17"/>
      <c r="E50" s="17"/>
      <c r="F50" s="17"/>
      <c r="G50" s="72"/>
      <c r="H50" s="17"/>
      <c r="I50" s="17"/>
      <c r="J50" s="8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87"/>
      <c r="AG50" s="87"/>
      <c r="AH50" s="17"/>
      <c r="AI50" s="17"/>
    </row>
    <row r="51" spans="1:35" ht="12.75" customHeight="1" x14ac:dyDescent="0.25">
      <c r="A51" s="17"/>
      <c r="B51" s="17"/>
      <c r="C51" s="17"/>
      <c r="D51" s="17"/>
      <c r="E51" s="17"/>
      <c r="F51" s="17"/>
      <c r="G51" s="72"/>
      <c r="H51" s="17"/>
      <c r="I51" s="17"/>
      <c r="J51" s="8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87"/>
      <c r="AG51" s="87"/>
      <c r="AH51" s="17"/>
      <c r="AI51" s="17"/>
    </row>
    <row r="52" spans="1:35" ht="12.75" customHeight="1" x14ac:dyDescent="0.25">
      <c r="A52" s="17"/>
      <c r="B52" s="17"/>
      <c r="C52" s="17"/>
      <c r="D52" s="17"/>
      <c r="E52" s="17"/>
      <c r="F52" s="17"/>
      <c r="G52" s="72"/>
      <c r="H52" s="17"/>
      <c r="I52" s="17"/>
      <c r="J52" s="8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87"/>
      <c r="AG52" s="87"/>
      <c r="AH52" s="17"/>
      <c r="AI52" s="17"/>
    </row>
    <row r="53" spans="1:35" ht="12.75" customHeight="1" x14ac:dyDescent="0.25">
      <c r="A53" s="17"/>
      <c r="B53" s="17"/>
      <c r="C53" s="17"/>
      <c r="D53" s="17"/>
      <c r="E53" s="17"/>
      <c r="F53" s="17"/>
      <c r="G53" s="72"/>
      <c r="H53" s="17"/>
      <c r="I53" s="17"/>
      <c r="J53" s="8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87"/>
      <c r="AG53" s="87"/>
      <c r="AH53" s="17"/>
      <c r="AI53" s="17"/>
    </row>
    <row r="54" spans="1:35" ht="12.75" customHeight="1" x14ac:dyDescent="0.25">
      <c r="A54" s="17"/>
      <c r="B54" s="17"/>
      <c r="C54" s="17"/>
      <c r="D54" s="17"/>
      <c r="E54" s="17"/>
      <c r="F54" s="17"/>
      <c r="G54" s="72"/>
      <c r="H54" s="17"/>
      <c r="I54" s="17"/>
      <c r="J54" s="8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87"/>
      <c r="AG54" s="87"/>
      <c r="AH54" s="17"/>
      <c r="AI54" s="17"/>
    </row>
    <row r="55" spans="1:35" ht="12.75" customHeight="1" x14ac:dyDescent="0.25">
      <c r="A55" s="17"/>
      <c r="B55" s="17"/>
      <c r="C55" s="17"/>
      <c r="D55" s="17"/>
      <c r="E55" s="17"/>
      <c r="F55" s="17"/>
      <c r="G55" s="72"/>
      <c r="H55" s="17"/>
      <c r="I55" s="17"/>
      <c r="J55" s="8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87"/>
      <c r="AG55" s="87"/>
      <c r="AH55" s="17"/>
      <c r="AI55" s="17"/>
    </row>
    <row r="56" spans="1:35" ht="12.75" customHeight="1" x14ac:dyDescent="0.25">
      <c r="A56" s="17"/>
      <c r="B56" s="17"/>
      <c r="C56" s="17"/>
      <c r="D56" s="17"/>
      <c r="E56" s="17"/>
      <c r="F56" s="17"/>
      <c r="G56" s="72"/>
      <c r="H56" s="17"/>
      <c r="I56" s="17"/>
      <c r="J56" s="8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87"/>
      <c r="AG56" s="87"/>
      <c r="AH56" s="17"/>
      <c r="AI56" s="17"/>
    </row>
    <row r="57" spans="1:35" ht="12.75" customHeight="1" x14ac:dyDescent="0.25">
      <c r="A57" s="17"/>
      <c r="B57" s="17"/>
      <c r="C57" s="17"/>
      <c r="D57" s="17"/>
      <c r="E57" s="17"/>
      <c r="F57" s="17"/>
      <c r="G57" s="72"/>
      <c r="H57" s="17"/>
      <c r="I57" s="17"/>
      <c r="J57" s="8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87"/>
      <c r="AG57" s="87"/>
      <c r="AH57" s="17"/>
      <c r="AI57" s="17"/>
    </row>
    <row r="58" spans="1:35" ht="12.75" customHeight="1" x14ac:dyDescent="0.25">
      <c r="A58" s="17"/>
      <c r="B58" s="17"/>
      <c r="C58" s="17"/>
      <c r="D58" s="17"/>
      <c r="E58" s="17"/>
      <c r="F58" s="17"/>
      <c r="G58" s="72"/>
      <c r="H58" s="17"/>
      <c r="I58" s="17"/>
      <c r="J58" s="8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87"/>
      <c r="AG58" s="87"/>
      <c r="AH58" s="17"/>
      <c r="AI58" s="17"/>
    </row>
    <row r="59" spans="1:35" ht="12.75" customHeight="1" x14ac:dyDescent="0.25">
      <c r="A59" s="17"/>
      <c r="B59" s="17"/>
      <c r="C59" s="17"/>
      <c r="D59" s="17"/>
      <c r="E59" s="17"/>
      <c r="F59" s="17"/>
      <c r="G59" s="72"/>
      <c r="H59" s="17"/>
      <c r="I59" s="17"/>
      <c r="J59" s="8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87"/>
      <c r="AG59" s="87"/>
      <c r="AH59" s="17"/>
      <c r="AI59" s="17"/>
    </row>
    <row r="60" spans="1:35" ht="12.75" customHeight="1" x14ac:dyDescent="0.25">
      <c r="A60" s="17"/>
      <c r="B60" s="17"/>
      <c r="C60" s="17"/>
      <c r="D60" s="17"/>
      <c r="E60" s="17"/>
      <c r="F60" s="17"/>
      <c r="G60" s="72"/>
      <c r="H60" s="17"/>
      <c r="I60" s="17"/>
      <c r="J60" s="8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87"/>
      <c r="AG60" s="87"/>
      <c r="AH60" s="17"/>
      <c r="AI60" s="17"/>
    </row>
    <row r="61" spans="1:35" ht="12.75" customHeight="1" x14ac:dyDescent="0.25">
      <c r="A61" s="17"/>
      <c r="B61" s="17"/>
      <c r="C61" s="17"/>
      <c r="D61" s="17"/>
      <c r="E61" s="17"/>
      <c r="F61" s="17"/>
      <c r="G61" s="72"/>
      <c r="H61" s="17"/>
      <c r="I61" s="17"/>
      <c r="J61" s="8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87"/>
      <c r="AG61" s="87"/>
      <c r="AH61" s="17"/>
      <c r="AI61" s="17"/>
    </row>
    <row r="62" spans="1:35" ht="12.75" customHeight="1" x14ac:dyDescent="0.25">
      <c r="A62" s="17"/>
      <c r="B62" s="17"/>
      <c r="C62" s="17"/>
      <c r="D62" s="17"/>
      <c r="E62" s="17"/>
      <c r="F62" s="17"/>
      <c r="G62" s="72"/>
      <c r="H62" s="17"/>
      <c r="I62" s="17"/>
      <c r="J62" s="8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87"/>
      <c r="AG62" s="87"/>
      <c r="AH62" s="17"/>
      <c r="AI62" s="17"/>
    </row>
    <row r="63" spans="1:35" ht="12.75" customHeight="1" x14ac:dyDescent="0.25">
      <c r="A63" s="17"/>
      <c r="B63" s="17"/>
      <c r="C63" s="17"/>
      <c r="D63" s="17"/>
      <c r="E63" s="17"/>
      <c r="F63" s="17"/>
      <c r="G63" s="72"/>
      <c r="H63" s="17"/>
      <c r="I63" s="17"/>
      <c r="J63" s="8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87"/>
      <c r="AG63" s="87"/>
      <c r="AH63" s="17"/>
      <c r="AI63" s="17"/>
    </row>
    <row r="64" spans="1:35" ht="12.75" customHeight="1" x14ac:dyDescent="0.25">
      <c r="A64" s="17"/>
      <c r="B64" s="17"/>
      <c r="C64" s="17"/>
      <c r="D64" s="17"/>
      <c r="E64" s="17"/>
      <c r="F64" s="17"/>
      <c r="G64" s="72"/>
      <c r="H64" s="17"/>
      <c r="I64" s="17"/>
      <c r="J64" s="8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87"/>
      <c r="AG64" s="87"/>
      <c r="AH64" s="17"/>
      <c r="AI64" s="17"/>
    </row>
    <row r="65" spans="1:35" ht="12.75" customHeight="1" x14ac:dyDescent="0.25">
      <c r="A65" s="17"/>
      <c r="B65" s="17"/>
      <c r="C65" s="17"/>
      <c r="D65" s="17"/>
      <c r="E65" s="17"/>
      <c r="F65" s="17"/>
      <c r="G65" s="72"/>
      <c r="H65" s="17"/>
      <c r="I65" s="17"/>
      <c r="J65" s="8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87"/>
      <c r="AG65" s="87"/>
      <c r="AH65" s="17"/>
      <c r="AI65" s="17"/>
    </row>
    <row r="66" spans="1:35" ht="12.75" customHeight="1" x14ac:dyDescent="0.25">
      <c r="A66" s="17"/>
      <c r="B66" s="17"/>
      <c r="C66" s="17"/>
      <c r="D66" s="17"/>
      <c r="E66" s="17"/>
      <c r="F66" s="17"/>
      <c r="G66" s="72"/>
      <c r="H66" s="17"/>
      <c r="I66" s="17"/>
      <c r="J66" s="8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87"/>
      <c r="AG66" s="87"/>
      <c r="AH66" s="17"/>
      <c r="AI66" s="17"/>
    </row>
    <row r="67" spans="1:35" ht="12.75" customHeight="1" x14ac:dyDescent="0.25">
      <c r="A67" s="17"/>
      <c r="B67" s="17"/>
      <c r="C67" s="17"/>
      <c r="D67" s="17"/>
      <c r="E67" s="17"/>
      <c r="F67" s="17"/>
      <c r="G67" s="72"/>
      <c r="H67" s="17"/>
      <c r="I67" s="17"/>
      <c r="J67" s="8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87"/>
      <c r="AG67" s="87"/>
      <c r="AH67" s="17"/>
      <c r="AI67" s="17"/>
    </row>
    <row r="68" spans="1:35" ht="12.75" customHeight="1" x14ac:dyDescent="0.25">
      <c r="A68" s="17"/>
      <c r="B68" s="17"/>
      <c r="C68" s="17"/>
      <c r="D68" s="17"/>
      <c r="E68" s="17"/>
      <c r="F68" s="17"/>
      <c r="G68" s="72"/>
      <c r="H68" s="17"/>
      <c r="I68" s="17"/>
      <c r="J68" s="8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87"/>
      <c r="AG68" s="87"/>
      <c r="AH68" s="17"/>
      <c r="AI68" s="17"/>
    </row>
    <row r="69" spans="1:35" ht="12.75" customHeight="1" x14ac:dyDescent="0.25">
      <c r="A69" s="17"/>
      <c r="B69" s="17"/>
      <c r="C69" s="17"/>
      <c r="D69" s="17"/>
      <c r="E69" s="17"/>
      <c r="F69" s="17"/>
      <c r="G69" s="72"/>
      <c r="H69" s="17"/>
      <c r="I69" s="17"/>
      <c r="J69" s="8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87"/>
      <c r="AG69" s="87"/>
      <c r="AH69" s="17"/>
      <c r="AI69" s="17"/>
    </row>
    <row r="70" spans="1:35" ht="12.75" customHeight="1" x14ac:dyDescent="0.25">
      <c r="A70" s="17"/>
      <c r="B70" s="17"/>
      <c r="C70" s="17"/>
      <c r="D70" s="17"/>
      <c r="E70" s="17"/>
      <c r="F70" s="17"/>
      <c r="G70" s="72"/>
      <c r="H70" s="17"/>
      <c r="I70" s="17"/>
      <c r="J70" s="8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87"/>
      <c r="AG70" s="87"/>
      <c r="AH70" s="17"/>
      <c r="AI70" s="17"/>
    </row>
    <row r="71" spans="1:35" ht="12.75" customHeight="1" x14ac:dyDescent="0.25">
      <c r="A71" s="17"/>
      <c r="B71" s="17"/>
      <c r="C71" s="17"/>
      <c r="D71" s="17"/>
      <c r="E71" s="17"/>
      <c r="F71" s="17"/>
      <c r="G71" s="72"/>
      <c r="H71" s="17"/>
      <c r="I71" s="17"/>
      <c r="J71" s="8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87"/>
      <c r="AG71" s="87"/>
      <c r="AH71" s="17"/>
      <c r="AI71" s="17"/>
    </row>
    <row r="72" spans="1:35" ht="12.75" customHeight="1" x14ac:dyDescent="0.25">
      <c r="A72" s="17"/>
      <c r="B72" s="17"/>
      <c r="C72" s="17"/>
      <c r="D72" s="17"/>
      <c r="E72" s="17"/>
      <c r="F72" s="17"/>
      <c r="G72" s="72"/>
      <c r="H72" s="17"/>
      <c r="I72" s="17"/>
      <c r="J72" s="8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87"/>
      <c r="AG72" s="87"/>
      <c r="AH72" s="17"/>
      <c r="AI72" s="17"/>
    </row>
    <row r="73" spans="1:35" ht="12.75" customHeight="1" x14ac:dyDescent="0.25">
      <c r="A73" s="17"/>
      <c r="B73" s="17"/>
      <c r="C73" s="17"/>
      <c r="D73" s="17"/>
      <c r="E73" s="17"/>
      <c r="F73" s="17"/>
      <c r="G73" s="72"/>
      <c r="H73" s="17"/>
      <c r="I73" s="17"/>
      <c r="J73" s="8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87"/>
      <c r="AG73" s="87"/>
      <c r="AH73" s="17"/>
      <c r="AI73" s="17"/>
    </row>
    <row r="74" spans="1:35" ht="12.75" customHeight="1" x14ac:dyDescent="0.25">
      <c r="A74" s="17"/>
      <c r="B74" s="17"/>
      <c r="C74" s="17"/>
      <c r="D74" s="17"/>
      <c r="E74" s="17"/>
      <c r="F74" s="17"/>
      <c r="G74" s="72"/>
      <c r="H74" s="17"/>
      <c r="I74" s="17"/>
      <c r="J74" s="8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87"/>
      <c r="AG74" s="87"/>
      <c r="AH74" s="17"/>
      <c r="AI74" s="17"/>
    </row>
    <row r="75" spans="1:35" ht="12.75" customHeight="1" x14ac:dyDescent="0.25">
      <c r="A75" s="17"/>
      <c r="B75" s="17"/>
      <c r="C75" s="17"/>
      <c r="D75" s="17"/>
      <c r="E75" s="17"/>
      <c r="F75" s="17"/>
      <c r="G75" s="72"/>
      <c r="H75" s="17"/>
      <c r="I75" s="17"/>
      <c r="J75" s="8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87"/>
      <c r="AG75" s="87"/>
      <c r="AH75" s="17"/>
      <c r="AI75" s="17"/>
    </row>
    <row r="76" spans="1:35" ht="12.75" customHeight="1" x14ac:dyDescent="0.25">
      <c r="A76" s="17"/>
      <c r="B76" s="17"/>
      <c r="C76" s="17"/>
      <c r="D76" s="17"/>
      <c r="E76" s="17"/>
      <c r="F76" s="17"/>
      <c r="G76" s="72"/>
      <c r="H76" s="17"/>
      <c r="I76" s="17"/>
      <c r="J76" s="8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87"/>
      <c r="AG76" s="87"/>
      <c r="AH76" s="17"/>
      <c r="AI76" s="17"/>
    </row>
    <row r="77" spans="1:35" ht="12.75" customHeight="1" x14ac:dyDescent="0.25">
      <c r="A77" s="17"/>
      <c r="B77" s="17"/>
      <c r="C77" s="17"/>
      <c r="D77" s="17"/>
      <c r="E77" s="17"/>
      <c r="F77" s="17"/>
      <c r="G77" s="72"/>
      <c r="H77" s="17"/>
      <c r="I77" s="17"/>
      <c r="J77" s="8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87"/>
      <c r="AG77" s="87"/>
      <c r="AH77" s="17"/>
      <c r="AI77" s="17"/>
    </row>
    <row r="78" spans="1:35" ht="12.75" customHeight="1" x14ac:dyDescent="0.25">
      <c r="A78" s="17"/>
      <c r="B78" s="17"/>
      <c r="C78" s="17"/>
      <c r="D78" s="17"/>
      <c r="E78" s="17"/>
      <c r="F78" s="17"/>
      <c r="G78" s="72"/>
      <c r="H78" s="17"/>
      <c r="I78" s="17"/>
      <c r="J78" s="8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87"/>
      <c r="AG78" s="87"/>
      <c r="AH78" s="17"/>
      <c r="AI78" s="17"/>
    </row>
    <row r="79" spans="1:35" ht="12.75" customHeight="1" x14ac:dyDescent="0.25">
      <c r="A79" s="17"/>
      <c r="B79" s="17"/>
      <c r="C79" s="17"/>
      <c r="D79" s="17"/>
      <c r="E79" s="17"/>
      <c r="F79" s="17"/>
      <c r="G79" s="72"/>
      <c r="H79" s="17"/>
      <c r="I79" s="17"/>
      <c r="J79" s="8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87"/>
      <c r="AG79" s="87"/>
      <c r="AH79" s="17"/>
      <c r="AI79" s="17"/>
    </row>
    <row r="80" spans="1:35" ht="12.75" customHeight="1" x14ac:dyDescent="0.25">
      <c r="A80" s="17"/>
      <c r="B80" s="17"/>
      <c r="C80" s="17"/>
      <c r="D80" s="17"/>
      <c r="E80" s="17"/>
      <c r="F80" s="17"/>
      <c r="G80" s="72"/>
      <c r="H80" s="17"/>
      <c r="I80" s="17"/>
      <c r="J80" s="8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87"/>
      <c r="AG80" s="87"/>
      <c r="AH80" s="17"/>
      <c r="AI80" s="17"/>
    </row>
    <row r="81" spans="1:35" ht="12.75" customHeight="1" x14ac:dyDescent="0.25">
      <c r="A81" s="17"/>
      <c r="B81" s="17"/>
      <c r="C81" s="17"/>
      <c r="D81" s="17"/>
      <c r="E81" s="17"/>
      <c r="F81" s="17"/>
      <c r="G81" s="72"/>
      <c r="H81" s="17"/>
      <c r="I81" s="17"/>
      <c r="J81" s="8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87"/>
      <c r="AG81" s="87"/>
      <c r="AH81" s="17"/>
      <c r="AI81" s="17"/>
    </row>
    <row r="82" spans="1:35" ht="12.75" customHeight="1" x14ac:dyDescent="0.25">
      <c r="A82" s="17"/>
      <c r="B82" s="17"/>
      <c r="C82" s="17"/>
      <c r="D82" s="17"/>
      <c r="E82" s="17"/>
      <c r="F82" s="17"/>
      <c r="G82" s="72"/>
      <c r="H82" s="17"/>
      <c r="I82" s="17"/>
      <c r="J82" s="8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87"/>
      <c r="AG82" s="87"/>
      <c r="AH82" s="17"/>
      <c r="AI82" s="17"/>
    </row>
    <row r="83" spans="1:35" ht="12.75" customHeight="1" x14ac:dyDescent="0.25">
      <c r="A83" s="17"/>
      <c r="B83" s="17"/>
      <c r="C83" s="17"/>
      <c r="D83" s="17"/>
      <c r="E83" s="17"/>
      <c r="F83" s="17"/>
      <c r="G83" s="72"/>
      <c r="H83" s="17"/>
      <c r="I83" s="17"/>
      <c r="J83" s="8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87"/>
      <c r="AG83" s="87"/>
      <c r="AH83" s="17"/>
      <c r="AI83" s="17"/>
    </row>
    <row r="84" spans="1:35" ht="12.75" customHeight="1" x14ac:dyDescent="0.25">
      <c r="A84" s="17"/>
      <c r="B84" s="17"/>
      <c r="C84" s="17"/>
      <c r="D84" s="17"/>
      <c r="E84" s="17"/>
      <c r="F84" s="17"/>
      <c r="G84" s="72"/>
      <c r="H84" s="17"/>
      <c r="I84" s="17"/>
      <c r="J84" s="8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87"/>
      <c r="AG84" s="87"/>
      <c r="AH84" s="17"/>
      <c r="AI84" s="17"/>
    </row>
    <row r="85" spans="1:35" ht="12.75" customHeight="1" x14ac:dyDescent="0.25">
      <c r="A85" s="17"/>
      <c r="B85" s="17"/>
      <c r="C85" s="17"/>
      <c r="D85" s="17"/>
      <c r="E85" s="17"/>
      <c r="F85" s="17"/>
      <c r="G85" s="72"/>
      <c r="H85" s="17"/>
      <c r="I85" s="17"/>
      <c r="J85" s="8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87"/>
      <c r="AG85" s="87"/>
      <c r="AH85" s="17"/>
      <c r="AI85" s="17"/>
    </row>
    <row r="86" spans="1:35" ht="12.75" customHeight="1" x14ac:dyDescent="0.25">
      <c r="A86" s="17"/>
      <c r="B86" s="17"/>
      <c r="C86" s="17"/>
      <c r="D86" s="17"/>
      <c r="E86" s="17"/>
      <c r="F86" s="17"/>
      <c r="G86" s="72"/>
      <c r="H86" s="17"/>
      <c r="I86" s="17"/>
      <c r="J86" s="8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87"/>
      <c r="AG86" s="87"/>
      <c r="AH86" s="17"/>
      <c r="AI86" s="17"/>
    </row>
    <row r="87" spans="1:35" ht="12.75" customHeight="1" x14ac:dyDescent="0.25">
      <c r="A87" s="17"/>
      <c r="B87" s="17"/>
      <c r="C87" s="17"/>
      <c r="D87" s="17"/>
      <c r="E87" s="17"/>
      <c r="F87" s="17"/>
      <c r="G87" s="72"/>
      <c r="H87" s="17"/>
      <c r="I87" s="17"/>
      <c r="J87" s="8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87"/>
      <c r="AG87" s="87"/>
      <c r="AH87" s="17"/>
      <c r="AI87" s="17"/>
    </row>
    <row r="88" spans="1:35" ht="12.75" customHeight="1" x14ac:dyDescent="0.25">
      <c r="A88" s="17"/>
      <c r="B88" s="17"/>
      <c r="C88" s="17"/>
      <c r="D88" s="17"/>
      <c r="E88" s="17"/>
      <c r="F88" s="17"/>
      <c r="G88" s="72"/>
      <c r="H88" s="17"/>
      <c r="I88" s="17"/>
      <c r="J88" s="8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87"/>
      <c r="AG88" s="87"/>
      <c r="AH88" s="17"/>
      <c r="AI88" s="17"/>
    </row>
    <row r="89" spans="1:35" ht="12.75" customHeight="1" x14ac:dyDescent="0.25">
      <c r="A89" s="17"/>
      <c r="B89" s="17"/>
      <c r="C89" s="17"/>
      <c r="D89" s="17"/>
      <c r="E89" s="17"/>
      <c r="F89" s="17"/>
      <c r="G89" s="72"/>
      <c r="H89" s="17"/>
      <c r="I89" s="17"/>
      <c r="J89" s="8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87"/>
      <c r="AG89" s="87"/>
      <c r="AH89" s="17"/>
      <c r="AI89" s="17"/>
    </row>
    <row r="90" spans="1:35" ht="12.75" customHeight="1" x14ac:dyDescent="0.25">
      <c r="A90" s="17"/>
      <c r="B90" s="17"/>
      <c r="C90" s="17"/>
      <c r="D90" s="17"/>
      <c r="E90" s="17"/>
      <c r="F90" s="17"/>
      <c r="G90" s="72"/>
      <c r="H90" s="17"/>
      <c r="I90" s="17"/>
      <c r="J90" s="8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87"/>
      <c r="AG90" s="87"/>
      <c r="AH90" s="17"/>
      <c r="AI90" s="17"/>
    </row>
    <row r="91" spans="1:35" ht="12.75" customHeight="1" x14ac:dyDescent="0.25">
      <c r="A91" s="17"/>
      <c r="B91" s="17"/>
      <c r="C91" s="17"/>
      <c r="D91" s="17"/>
      <c r="E91" s="17"/>
      <c r="F91" s="17"/>
      <c r="G91" s="72"/>
      <c r="H91" s="17"/>
      <c r="I91" s="17"/>
      <c r="J91" s="8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87"/>
      <c r="AG91" s="87"/>
      <c r="AH91" s="17"/>
      <c r="AI91" s="17"/>
    </row>
    <row r="92" spans="1:35" ht="12.75" customHeight="1" x14ac:dyDescent="0.25">
      <c r="A92" s="17"/>
      <c r="B92" s="17"/>
      <c r="C92" s="17"/>
      <c r="D92" s="17"/>
      <c r="E92" s="17"/>
      <c r="F92" s="17"/>
      <c r="G92" s="72"/>
      <c r="H92" s="17"/>
      <c r="I92" s="17"/>
      <c r="J92" s="8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87"/>
      <c r="AG92" s="87"/>
      <c r="AH92" s="17"/>
      <c r="AI92" s="17"/>
    </row>
    <row r="93" spans="1:35" ht="12.75" customHeight="1" x14ac:dyDescent="0.25">
      <c r="A93" s="17"/>
      <c r="B93" s="17"/>
      <c r="C93" s="17"/>
      <c r="D93" s="17"/>
      <c r="E93" s="17"/>
      <c r="F93" s="17"/>
      <c r="G93" s="72"/>
      <c r="H93" s="17"/>
      <c r="I93" s="17"/>
      <c r="J93" s="8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87"/>
      <c r="AG93" s="87"/>
      <c r="AH93" s="17"/>
      <c r="AI93" s="17"/>
    </row>
    <row r="94" spans="1:35" ht="12.75" customHeight="1" x14ac:dyDescent="0.25">
      <c r="A94" s="17"/>
      <c r="B94" s="17"/>
      <c r="C94" s="17"/>
      <c r="D94" s="17"/>
      <c r="E94" s="17"/>
      <c r="F94" s="17"/>
      <c r="G94" s="72"/>
      <c r="H94" s="17"/>
      <c r="I94" s="17"/>
      <c r="J94" s="8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87"/>
      <c r="AG94" s="87"/>
      <c r="AH94" s="17"/>
      <c r="AI94" s="17"/>
    </row>
    <row r="95" spans="1:35" ht="12.75" customHeight="1" x14ac:dyDescent="0.25">
      <c r="A95" s="17"/>
      <c r="B95" s="17"/>
      <c r="C95" s="17"/>
      <c r="D95" s="17"/>
      <c r="E95" s="17"/>
      <c r="F95" s="17"/>
      <c r="G95" s="72"/>
      <c r="H95" s="17"/>
      <c r="I95" s="17"/>
      <c r="J95" s="8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87"/>
      <c r="AG95" s="87"/>
      <c r="AH95" s="17"/>
      <c r="AI95" s="17"/>
    </row>
    <row r="96" spans="1:35" ht="12.75" customHeight="1" x14ac:dyDescent="0.25">
      <c r="A96" s="17"/>
      <c r="B96" s="17"/>
      <c r="C96" s="17"/>
      <c r="D96" s="17"/>
      <c r="E96" s="17"/>
      <c r="F96" s="17"/>
      <c r="G96" s="72"/>
      <c r="H96" s="17"/>
      <c r="I96" s="17"/>
      <c r="J96" s="8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87"/>
      <c r="AG96" s="87"/>
      <c r="AH96" s="17"/>
      <c r="AI96" s="17"/>
    </row>
    <row r="97" spans="1:35" ht="12.75" customHeight="1" x14ac:dyDescent="0.25">
      <c r="A97" s="17"/>
      <c r="B97" s="17"/>
      <c r="C97" s="17"/>
      <c r="D97" s="17"/>
      <c r="E97" s="17"/>
      <c r="F97" s="17"/>
      <c r="G97" s="72"/>
      <c r="H97" s="17"/>
      <c r="I97" s="17"/>
      <c r="J97" s="8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87"/>
      <c r="AG97" s="87"/>
      <c r="AH97" s="17"/>
      <c r="AI97" s="17"/>
    </row>
    <row r="98" spans="1:35" ht="12.75" customHeight="1" x14ac:dyDescent="0.25">
      <c r="A98" s="17"/>
      <c r="B98" s="17"/>
      <c r="C98" s="17"/>
      <c r="D98" s="17"/>
      <c r="E98" s="17"/>
      <c r="F98" s="17"/>
      <c r="G98" s="72"/>
      <c r="H98" s="17"/>
      <c r="I98" s="17"/>
      <c r="J98" s="8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87"/>
      <c r="AG98" s="87"/>
      <c r="AH98" s="17"/>
      <c r="AI98" s="17"/>
    </row>
    <row r="99" spans="1:35" ht="12.75" customHeight="1" x14ac:dyDescent="0.25">
      <c r="A99" s="17"/>
      <c r="B99" s="17"/>
      <c r="C99" s="17"/>
      <c r="D99" s="17"/>
      <c r="E99" s="17"/>
      <c r="F99" s="17"/>
      <c r="G99" s="72"/>
      <c r="H99" s="17"/>
      <c r="I99" s="17"/>
      <c r="J99" s="8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87"/>
      <c r="AG99" s="87"/>
      <c r="AH99" s="17"/>
      <c r="AI99" s="17"/>
    </row>
    <row r="100" spans="1:35" ht="12.75" customHeight="1" x14ac:dyDescent="0.25">
      <c r="A100" s="17"/>
      <c r="B100" s="17"/>
      <c r="C100" s="17"/>
      <c r="D100" s="17"/>
      <c r="E100" s="17"/>
      <c r="F100" s="17"/>
      <c r="G100" s="72"/>
      <c r="H100" s="17"/>
      <c r="I100" s="17"/>
      <c r="J100" s="8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87"/>
      <c r="AG100" s="87"/>
      <c r="AH100" s="17"/>
      <c r="AI100" s="17"/>
    </row>
    <row r="101" spans="1:35" ht="15.75" customHeight="1" x14ac:dyDescent="0.25"/>
    <row r="102" spans="1:35" ht="15.75" customHeight="1" x14ac:dyDescent="0.25"/>
    <row r="103" spans="1:35" ht="15.75" customHeight="1" x14ac:dyDescent="0.25"/>
    <row r="104" spans="1:35" ht="15.75" customHeight="1" x14ac:dyDescent="0.25"/>
    <row r="105" spans="1:35" ht="15.75" customHeight="1" x14ac:dyDescent="0.25"/>
    <row r="106" spans="1:35" ht="15.75" customHeight="1" x14ac:dyDescent="0.25"/>
    <row r="107" spans="1:35" ht="15.75" customHeight="1" x14ac:dyDescent="0.25"/>
    <row r="108" spans="1:35" ht="15.75" customHeight="1" x14ac:dyDescent="0.25"/>
    <row r="109" spans="1:35" ht="15.75" customHeight="1" x14ac:dyDescent="0.25"/>
    <row r="110" spans="1:35" ht="15.75" customHeight="1" x14ac:dyDescent="0.25"/>
    <row r="111" spans="1:35" ht="15.75" customHeight="1" x14ac:dyDescent="0.25"/>
    <row r="112" spans="1:3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H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I5:AI7"/>
    <mergeCell ref="I1:U1"/>
    <mergeCell ref="V1:AA1"/>
    <mergeCell ref="A2:D2"/>
    <mergeCell ref="A3:D3"/>
    <mergeCell ref="L3:P3"/>
    <mergeCell ref="Q3:AA3"/>
    <mergeCell ref="E5:AH5"/>
    <mergeCell ref="A5:A7"/>
    <mergeCell ref="B5:D7"/>
    <mergeCell ref="B8:D8"/>
    <mergeCell ref="B9:D9"/>
    <mergeCell ref="A10:A11"/>
    <mergeCell ref="B10:C11"/>
    <mergeCell ref="B12:D12"/>
  </mergeCells>
  <pageMargins left="0.43307086614173229" right="2.2400000000000002" top="0.84" bottom="0.31496062992125984" header="0" footer="2.66"/>
  <pageSetup paperSize="9" scale="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1000"/>
  <sheetViews>
    <sheetView showGridLines="0" workbookViewId="0">
      <selection activeCell="E8" sqref="E8"/>
    </sheetView>
  </sheetViews>
  <sheetFormatPr defaultColWidth="14.42578125" defaultRowHeight="15" customHeight="1" x14ac:dyDescent="0.25"/>
  <cols>
    <col min="1" max="2" width="5.7109375" customWidth="1"/>
    <col min="3" max="3" width="5.85546875" customWidth="1"/>
    <col min="4" max="4" width="27.7109375" customWidth="1"/>
    <col min="5" max="5" width="5.28515625" customWidth="1"/>
    <col min="6" max="36" width="4.7109375" customWidth="1"/>
  </cols>
  <sheetData>
    <row r="1" spans="1:36" ht="12.75" customHeight="1" x14ac:dyDescent="0.25">
      <c r="A1" s="17"/>
      <c r="B1" s="17"/>
      <c r="C1" s="17"/>
      <c r="D1" s="17"/>
      <c r="E1" s="17"/>
      <c r="F1" s="17"/>
      <c r="G1" s="17"/>
      <c r="H1" s="17"/>
      <c r="I1" s="195" t="s">
        <v>81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00"/>
      <c r="W1" s="201"/>
      <c r="X1" s="201"/>
      <c r="Y1" s="201"/>
      <c r="Z1" s="201"/>
      <c r="AA1" s="201"/>
      <c r="AB1" s="195">
        <v>2025</v>
      </c>
      <c r="AC1" s="196"/>
      <c r="AD1" s="196"/>
      <c r="AE1" s="17"/>
      <c r="AF1" s="87"/>
      <c r="AG1" s="87"/>
      <c r="AH1" s="17"/>
      <c r="AI1" s="17"/>
      <c r="AJ1" s="17"/>
    </row>
    <row r="2" spans="1:36" ht="12.75" customHeight="1" x14ac:dyDescent="0.25">
      <c r="A2" s="200">
        <f>'General information'!B1</f>
        <v>0</v>
      </c>
      <c r="B2" s="201"/>
      <c r="C2" s="201"/>
      <c r="D2" s="201"/>
      <c r="E2" s="17"/>
      <c r="F2" s="17"/>
      <c r="G2" s="17"/>
      <c r="H2" s="17"/>
      <c r="I2" s="17"/>
      <c r="J2" s="8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87"/>
      <c r="AG2" s="87"/>
      <c r="AH2" s="17"/>
      <c r="AI2" s="17"/>
      <c r="AJ2" s="17"/>
    </row>
    <row r="3" spans="1:36" ht="12.75" customHeight="1" x14ac:dyDescent="0.25">
      <c r="A3" s="195" t="s">
        <v>82</v>
      </c>
      <c r="B3" s="196"/>
      <c r="C3" s="196"/>
      <c r="D3" s="196"/>
      <c r="E3" s="17"/>
      <c r="F3" s="17"/>
      <c r="G3" s="17"/>
      <c r="H3" s="17"/>
      <c r="I3" s="17"/>
      <c r="J3" s="87"/>
      <c r="K3" s="17"/>
      <c r="L3" s="195" t="s">
        <v>84</v>
      </c>
      <c r="M3" s="196"/>
      <c r="N3" s="196"/>
      <c r="O3" s="196"/>
      <c r="P3" s="196"/>
      <c r="Q3" s="200">
        <f>'General information'!B2</f>
        <v>0</v>
      </c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17"/>
      <c r="AC3" s="17"/>
      <c r="AD3" s="17"/>
      <c r="AE3" s="17"/>
      <c r="AF3" s="87"/>
      <c r="AG3" s="87"/>
      <c r="AH3" s="17"/>
      <c r="AI3" s="17"/>
      <c r="AJ3" s="17"/>
    </row>
    <row r="4" spans="1:36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8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87"/>
      <c r="AG4" s="87"/>
      <c r="AH4" s="17"/>
      <c r="AI4" s="17"/>
      <c r="AJ4" s="17"/>
    </row>
    <row r="5" spans="1:36" ht="16.5" customHeight="1" x14ac:dyDescent="0.25">
      <c r="A5" s="205" t="s">
        <v>83</v>
      </c>
      <c r="B5" s="208" t="s">
        <v>92</v>
      </c>
      <c r="C5" s="209"/>
      <c r="D5" s="210"/>
      <c r="E5" s="202" t="s">
        <v>85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44"/>
      <c r="AJ5" s="197" t="s">
        <v>86</v>
      </c>
    </row>
    <row r="6" spans="1:36" ht="16.5" customHeight="1" x14ac:dyDescent="0.25">
      <c r="A6" s="206"/>
      <c r="B6" s="211"/>
      <c r="C6" s="196"/>
      <c r="D6" s="212"/>
      <c r="E6" s="104">
        <f>+June!AH6+1</f>
        <v>46204</v>
      </c>
      <c r="F6" s="103">
        <f>+E6+1</f>
        <v>46205</v>
      </c>
      <c r="G6" s="103">
        <f t="shared" ref="G6:AI6" si="0">+F6+1</f>
        <v>46206</v>
      </c>
      <c r="H6" s="103">
        <f t="shared" si="0"/>
        <v>46207</v>
      </c>
      <c r="I6" s="103">
        <f t="shared" si="0"/>
        <v>46208</v>
      </c>
      <c r="J6" s="103">
        <f t="shared" si="0"/>
        <v>46209</v>
      </c>
      <c r="K6" s="103">
        <f t="shared" si="0"/>
        <v>46210</v>
      </c>
      <c r="L6" s="103">
        <f t="shared" si="0"/>
        <v>46211</v>
      </c>
      <c r="M6" s="103">
        <f t="shared" si="0"/>
        <v>46212</v>
      </c>
      <c r="N6" s="103">
        <f t="shared" si="0"/>
        <v>46213</v>
      </c>
      <c r="O6" s="103">
        <f t="shared" si="0"/>
        <v>46214</v>
      </c>
      <c r="P6" s="103">
        <f t="shared" si="0"/>
        <v>46215</v>
      </c>
      <c r="Q6" s="103">
        <f t="shared" si="0"/>
        <v>46216</v>
      </c>
      <c r="R6" s="103">
        <f t="shared" si="0"/>
        <v>46217</v>
      </c>
      <c r="S6" s="103">
        <f t="shared" si="0"/>
        <v>46218</v>
      </c>
      <c r="T6" s="103">
        <f t="shared" si="0"/>
        <v>46219</v>
      </c>
      <c r="U6" s="103">
        <f t="shared" si="0"/>
        <v>46220</v>
      </c>
      <c r="V6" s="103">
        <f t="shared" si="0"/>
        <v>46221</v>
      </c>
      <c r="W6" s="103">
        <f t="shared" si="0"/>
        <v>46222</v>
      </c>
      <c r="X6" s="103">
        <f t="shared" si="0"/>
        <v>46223</v>
      </c>
      <c r="Y6" s="103">
        <f t="shared" si="0"/>
        <v>46224</v>
      </c>
      <c r="Z6" s="103">
        <f t="shared" si="0"/>
        <v>46225</v>
      </c>
      <c r="AA6" s="103">
        <f t="shared" si="0"/>
        <v>46226</v>
      </c>
      <c r="AB6" s="103">
        <f t="shared" si="0"/>
        <v>46227</v>
      </c>
      <c r="AC6" s="103">
        <f t="shared" si="0"/>
        <v>46228</v>
      </c>
      <c r="AD6" s="103">
        <f t="shared" si="0"/>
        <v>46229</v>
      </c>
      <c r="AE6" s="103">
        <f t="shared" si="0"/>
        <v>46230</v>
      </c>
      <c r="AF6" s="103">
        <f t="shared" si="0"/>
        <v>46231</v>
      </c>
      <c r="AG6" s="103">
        <f t="shared" si="0"/>
        <v>46232</v>
      </c>
      <c r="AH6" s="103">
        <f t="shared" si="0"/>
        <v>46233</v>
      </c>
      <c r="AI6" s="103">
        <f t="shared" si="0"/>
        <v>46234</v>
      </c>
      <c r="AJ6" s="198"/>
    </row>
    <row r="7" spans="1:36" ht="16.5" customHeight="1" x14ac:dyDescent="0.25">
      <c r="A7" s="207"/>
      <c r="B7" s="213"/>
      <c r="C7" s="214"/>
      <c r="D7" s="215"/>
      <c r="E7" s="67" t="s">
        <v>129</v>
      </c>
      <c r="F7" s="19" t="str">
        <f t="shared" ref="F7:AI7" si="1">IF(E7="Mon","Tue",IF(E7="Tue","Wed",IF(E7="Wed","Thu",IF(E7="Thu","Fri",IF(E7="Fri","Sat",IF(E7="Sat","Sun",IF(E7="Sun","Mon")))))))</f>
        <v>Thu</v>
      </c>
      <c r="G7" s="19" t="str">
        <f t="shared" si="1"/>
        <v>Fri</v>
      </c>
      <c r="H7" s="19" t="str">
        <f t="shared" si="1"/>
        <v>Sat</v>
      </c>
      <c r="I7" s="19" t="str">
        <f t="shared" si="1"/>
        <v>Sun</v>
      </c>
      <c r="J7" s="19" t="str">
        <f t="shared" si="1"/>
        <v>Mon</v>
      </c>
      <c r="K7" s="19" t="str">
        <f t="shared" si="1"/>
        <v>Tue</v>
      </c>
      <c r="L7" s="19" t="str">
        <f t="shared" si="1"/>
        <v>Wed</v>
      </c>
      <c r="M7" s="19" t="str">
        <f t="shared" si="1"/>
        <v>Thu</v>
      </c>
      <c r="N7" s="19" t="str">
        <f t="shared" si="1"/>
        <v>Fri</v>
      </c>
      <c r="O7" s="19" t="str">
        <f t="shared" si="1"/>
        <v>Sat</v>
      </c>
      <c r="P7" s="19" t="str">
        <f t="shared" si="1"/>
        <v>Sun</v>
      </c>
      <c r="Q7" s="19" t="str">
        <f t="shared" si="1"/>
        <v>Mon</v>
      </c>
      <c r="R7" s="19" t="str">
        <f t="shared" si="1"/>
        <v>Tue</v>
      </c>
      <c r="S7" s="19" t="str">
        <f t="shared" si="1"/>
        <v>Wed</v>
      </c>
      <c r="T7" s="19" t="str">
        <f t="shared" si="1"/>
        <v>Thu</v>
      </c>
      <c r="U7" s="19" t="str">
        <f t="shared" si="1"/>
        <v>Fri</v>
      </c>
      <c r="V7" s="19" t="str">
        <f t="shared" si="1"/>
        <v>Sat</v>
      </c>
      <c r="W7" s="19" t="str">
        <f t="shared" si="1"/>
        <v>Sun</v>
      </c>
      <c r="X7" s="19" t="str">
        <f t="shared" si="1"/>
        <v>Mon</v>
      </c>
      <c r="Y7" s="19" t="str">
        <f t="shared" si="1"/>
        <v>Tue</v>
      </c>
      <c r="Z7" s="19" t="str">
        <f t="shared" si="1"/>
        <v>Wed</v>
      </c>
      <c r="AA7" s="19" t="str">
        <f t="shared" si="1"/>
        <v>Thu</v>
      </c>
      <c r="AB7" s="19" t="str">
        <f t="shared" si="1"/>
        <v>Fri</v>
      </c>
      <c r="AC7" s="19" t="str">
        <f t="shared" si="1"/>
        <v>Sat</v>
      </c>
      <c r="AD7" s="19" t="str">
        <f t="shared" si="1"/>
        <v>Sun</v>
      </c>
      <c r="AE7" s="19" t="str">
        <f t="shared" si="1"/>
        <v>Mon</v>
      </c>
      <c r="AF7" s="19" t="str">
        <f t="shared" si="1"/>
        <v>Tue</v>
      </c>
      <c r="AG7" s="19" t="str">
        <f t="shared" si="1"/>
        <v>Wed</v>
      </c>
      <c r="AH7" s="19" t="str">
        <f t="shared" si="1"/>
        <v>Thu</v>
      </c>
      <c r="AI7" s="19" t="str">
        <f t="shared" si="1"/>
        <v>Fri</v>
      </c>
      <c r="AJ7" s="199"/>
    </row>
    <row r="8" spans="1:36" ht="21" customHeight="1" x14ac:dyDescent="0.25">
      <c r="A8" s="20" t="s">
        <v>30</v>
      </c>
      <c r="B8" s="183" t="s">
        <v>90</v>
      </c>
      <c r="C8" s="184"/>
      <c r="D8" s="185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21" t="s">
        <v>31</v>
      </c>
    </row>
    <row r="9" spans="1:36" ht="21" customHeight="1" x14ac:dyDescent="0.25">
      <c r="A9" s="20" t="s">
        <v>32</v>
      </c>
      <c r="B9" s="183" t="s">
        <v>91</v>
      </c>
      <c r="C9" s="184"/>
      <c r="D9" s="185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21" t="s">
        <v>31</v>
      </c>
    </row>
    <row r="10" spans="1:36" ht="21" customHeight="1" x14ac:dyDescent="0.25">
      <c r="A10" s="186" t="s">
        <v>33</v>
      </c>
      <c r="B10" s="238" t="s">
        <v>93</v>
      </c>
      <c r="C10" s="239"/>
      <c r="D10" s="19" t="s">
        <v>88</v>
      </c>
      <c r="E10" s="37"/>
      <c r="F10" s="19"/>
      <c r="G10" s="19"/>
      <c r="H10" s="19"/>
      <c r="I10" s="19"/>
      <c r="J10" s="37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37"/>
      <c r="AE10" s="37"/>
      <c r="AF10" s="37"/>
      <c r="AG10" s="46"/>
      <c r="AH10" s="79"/>
      <c r="AI10" s="79"/>
      <c r="AJ10" s="21" t="s">
        <v>31</v>
      </c>
    </row>
    <row r="11" spans="1:36" ht="21" customHeight="1" x14ac:dyDescent="0.25">
      <c r="A11" s="187"/>
      <c r="B11" s="240"/>
      <c r="C11" s="241"/>
      <c r="D11" s="22" t="s">
        <v>89</v>
      </c>
      <c r="E11" s="39"/>
      <c r="F11" s="22"/>
      <c r="G11" s="22"/>
      <c r="H11" s="22"/>
      <c r="I11" s="22"/>
      <c r="J11" s="3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39"/>
      <c r="AE11" s="39"/>
      <c r="AF11" s="39"/>
      <c r="AG11" s="47"/>
      <c r="AH11" s="80"/>
      <c r="AI11" s="80"/>
      <c r="AJ11" s="24" t="s">
        <v>31</v>
      </c>
    </row>
    <row r="12" spans="1:36" ht="21" customHeight="1" thickTop="1" thickBot="1" x14ac:dyDescent="0.3">
      <c r="A12" s="25" t="s">
        <v>34</v>
      </c>
      <c r="B12" s="192" t="s">
        <v>94</v>
      </c>
      <c r="C12" s="193"/>
      <c r="D12" s="194"/>
      <c r="E12" s="41">
        <f t="shared" ref="E12:AI12" si="2">E9-E8</f>
        <v>0</v>
      </c>
      <c r="F12" s="27">
        <f t="shared" si="2"/>
        <v>0</v>
      </c>
      <c r="G12" s="27">
        <f t="shared" si="2"/>
        <v>0</v>
      </c>
      <c r="H12" s="27">
        <f t="shared" si="2"/>
        <v>0</v>
      </c>
      <c r="I12" s="27">
        <f t="shared" si="2"/>
        <v>0</v>
      </c>
      <c r="J12" s="41">
        <f t="shared" si="2"/>
        <v>0</v>
      </c>
      <c r="K12" s="27">
        <f t="shared" si="2"/>
        <v>0</v>
      </c>
      <c r="L12" s="27">
        <f t="shared" si="2"/>
        <v>0</v>
      </c>
      <c r="M12" s="27">
        <f t="shared" si="2"/>
        <v>0</v>
      </c>
      <c r="N12" s="27">
        <f t="shared" si="2"/>
        <v>0</v>
      </c>
      <c r="O12" s="27">
        <f t="shared" si="2"/>
        <v>0</v>
      </c>
      <c r="P12" s="27">
        <f t="shared" si="2"/>
        <v>0</v>
      </c>
      <c r="Q12" s="27">
        <f t="shared" si="2"/>
        <v>0</v>
      </c>
      <c r="R12" s="27">
        <f t="shared" si="2"/>
        <v>0</v>
      </c>
      <c r="S12" s="27">
        <f t="shared" si="2"/>
        <v>0</v>
      </c>
      <c r="T12" s="27">
        <f t="shared" si="2"/>
        <v>0</v>
      </c>
      <c r="U12" s="27">
        <f t="shared" si="2"/>
        <v>0</v>
      </c>
      <c r="V12" s="27">
        <f t="shared" si="2"/>
        <v>0</v>
      </c>
      <c r="W12" s="27">
        <f t="shared" si="2"/>
        <v>0</v>
      </c>
      <c r="X12" s="27">
        <f t="shared" si="2"/>
        <v>0</v>
      </c>
      <c r="Y12" s="27">
        <f t="shared" si="2"/>
        <v>0</v>
      </c>
      <c r="Z12" s="27">
        <f t="shared" si="2"/>
        <v>0</v>
      </c>
      <c r="AA12" s="27">
        <f t="shared" si="2"/>
        <v>0</v>
      </c>
      <c r="AB12" s="27">
        <f t="shared" si="2"/>
        <v>0</v>
      </c>
      <c r="AC12" s="27">
        <f t="shared" si="2"/>
        <v>0</v>
      </c>
      <c r="AD12" s="41">
        <f t="shared" si="2"/>
        <v>0</v>
      </c>
      <c r="AE12" s="41">
        <f t="shared" si="2"/>
        <v>0</v>
      </c>
      <c r="AF12" s="41">
        <f t="shared" si="2"/>
        <v>0</v>
      </c>
      <c r="AG12" s="41">
        <f t="shared" si="2"/>
        <v>0</v>
      </c>
      <c r="AH12" s="41">
        <f t="shared" si="2"/>
        <v>0</v>
      </c>
      <c r="AI12" s="81">
        <f t="shared" si="2"/>
        <v>0</v>
      </c>
      <c r="AJ12" s="82">
        <f t="shared" ref="AJ12:AJ40" si="3">SUM(E12:AI12)</f>
        <v>0</v>
      </c>
    </row>
    <row r="13" spans="1:36" ht="21" customHeight="1" thickTop="1" x14ac:dyDescent="0.25">
      <c r="A13" s="28" t="s">
        <v>35</v>
      </c>
      <c r="B13" s="216" t="s">
        <v>80</v>
      </c>
      <c r="C13" s="231"/>
      <c r="D13" s="217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83"/>
      <c r="AH13" s="83"/>
      <c r="AI13" s="83"/>
      <c r="AJ13" s="84">
        <f t="shared" si="3"/>
        <v>0</v>
      </c>
    </row>
    <row r="14" spans="1:36" ht="21" customHeight="1" x14ac:dyDescent="0.25">
      <c r="A14" s="20" t="s">
        <v>36</v>
      </c>
      <c r="B14" s="183" t="s">
        <v>95</v>
      </c>
      <c r="C14" s="184"/>
      <c r="D14" s="185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79"/>
      <c r="AH14" s="79"/>
      <c r="AI14" s="79"/>
      <c r="AJ14" s="21">
        <f t="shared" si="3"/>
        <v>0</v>
      </c>
    </row>
    <row r="15" spans="1:36" ht="21" customHeight="1" x14ac:dyDescent="0.25">
      <c r="A15" s="20" t="s">
        <v>37</v>
      </c>
      <c r="B15" s="227" t="s">
        <v>109</v>
      </c>
      <c r="C15" s="227" t="s">
        <v>99</v>
      </c>
      <c r="D15" s="140" t="s">
        <v>96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79"/>
      <c r="AH15" s="79"/>
      <c r="AI15" s="79"/>
      <c r="AJ15" s="21">
        <f t="shared" si="3"/>
        <v>0</v>
      </c>
    </row>
    <row r="16" spans="1:36" ht="21" customHeight="1" x14ac:dyDescent="0.25">
      <c r="A16" s="20"/>
      <c r="B16" s="220"/>
      <c r="C16" s="220"/>
      <c r="D16" s="140" t="s">
        <v>97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79"/>
      <c r="AH16" s="79"/>
      <c r="AI16" s="79"/>
      <c r="AJ16" s="21">
        <f t="shared" si="3"/>
        <v>0</v>
      </c>
    </row>
    <row r="17" spans="1:36" ht="21" customHeight="1" x14ac:dyDescent="0.25">
      <c r="A17" s="20"/>
      <c r="B17" s="220"/>
      <c r="C17" s="232"/>
      <c r="D17" s="140" t="s">
        <v>98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79"/>
      <c r="AH17" s="79"/>
      <c r="AI17" s="79"/>
      <c r="AJ17" s="21">
        <f t="shared" si="3"/>
        <v>0</v>
      </c>
    </row>
    <row r="18" spans="1:36" ht="21" customHeight="1" x14ac:dyDescent="0.25">
      <c r="A18" s="20"/>
      <c r="B18" s="220"/>
      <c r="C18" s="183" t="s">
        <v>100</v>
      </c>
      <c r="D18" s="185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79"/>
      <c r="AH18" s="79"/>
      <c r="AI18" s="79"/>
      <c r="AJ18" s="21">
        <f t="shared" si="3"/>
        <v>0</v>
      </c>
    </row>
    <row r="19" spans="1:36" ht="30" customHeight="1" x14ac:dyDescent="0.25">
      <c r="A19" s="20"/>
      <c r="B19" s="220"/>
      <c r="C19" s="224" t="s">
        <v>105</v>
      </c>
      <c r="D19" s="185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79"/>
      <c r="AH19" s="79"/>
      <c r="AI19" s="79"/>
      <c r="AJ19" s="21">
        <f t="shared" si="3"/>
        <v>0</v>
      </c>
    </row>
    <row r="20" spans="1:36" ht="21" customHeight="1" x14ac:dyDescent="0.25">
      <c r="A20" s="20"/>
      <c r="B20" s="220"/>
      <c r="C20" s="183" t="s">
        <v>106</v>
      </c>
      <c r="D20" s="185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79"/>
      <c r="AH20" s="79"/>
      <c r="AI20" s="79"/>
      <c r="AJ20" s="21">
        <f t="shared" si="3"/>
        <v>0</v>
      </c>
    </row>
    <row r="21" spans="1:36" ht="21" customHeight="1" x14ac:dyDescent="0.25">
      <c r="A21" s="20"/>
      <c r="B21" s="220"/>
      <c r="C21" s="183" t="s">
        <v>107</v>
      </c>
      <c r="D21" s="185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79"/>
      <c r="AH21" s="79"/>
      <c r="AI21" s="79"/>
      <c r="AJ21" s="21">
        <f t="shared" si="3"/>
        <v>0</v>
      </c>
    </row>
    <row r="22" spans="1:36" ht="21" customHeight="1" x14ac:dyDescent="0.25">
      <c r="A22" s="20"/>
      <c r="B22" s="220"/>
      <c r="C22" s="183" t="s">
        <v>108</v>
      </c>
      <c r="D22" s="185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79"/>
      <c r="AH22" s="79"/>
      <c r="AI22" s="79"/>
      <c r="AJ22" s="21">
        <f t="shared" si="3"/>
        <v>0</v>
      </c>
    </row>
    <row r="23" spans="1:36" ht="21" customHeight="1" x14ac:dyDescent="0.25">
      <c r="A23" s="20"/>
      <c r="B23" s="220"/>
      <c r="C23" s="229" t="s">
        <v>122</v>
      </c>
      <c r="D23" s="23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79"/>
      <c r="AH23" s="79"/>
      <c r="AI23" s="79"/>
      <c r="AJ23" s="21">
        <f t="shared" si="3"/>
        <v>0</v>
      </c>
    </row>
    <row r="24" spans="1:36" ht="21" customHeight="1" x14ac:dyDescent="0.25">
      <c r="A24" s="20"/>
      <c r="B24" s="220"/>
      <c r="C24" s="183" t="s">
        <v>113</v>
      </c>
      <c r="D24" s="185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79"/>
      <c r="AH24" s="79"/>
      <c r="AI24" s="79"/>
      <c r="AJ24" s="21">
        <f t="shared" si="3"/>
        <v>0</v>
      </c>
    </row>
    <row r="25" spans="1:36" ht="30" customHeight="1" x14ac:dyDescent="0.25">
      <c r="A25" s="20"/>
      <c r="B25" s="220"/>
      <c r="C25" s="224" t="s">
        <v>114</v>
      </c>
      <c r="D25" s="185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79"/>
      <c r="AH25" s="79"/>
      <c r="AI25" s="79"/>
      <c r="AJ25" s="21">
        <f t="shared" si="3"/>
        <v>0</v>
      </c>
    </row>
    <row r="26" spans="1:36" ht="21" customHeight="1" x14ac:dyDescent="0.25">
      <c r="A26" s="20"/>
      <c r="B26" s="220"/>
      <c r="C26" s="183" t="s">
        <v>115</v>
      </c>
      <c r="D26" s="185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79"/>
      <c r="AH26" s="79"/>
      <c r="AI26" s="79"/>
      <c r="AJ26" s="21">
        <f t="shared" si="3"/>
        <v>0</v>
      </c>
    </row>
    <row r="27" spans="1:36" ht="21" customHeight="1" x14ac:dyDescent="0.25">
      <c r="A27" s="20"/>
      <c r="B27" s="220"/>
      <c r="C27" s="183" t="s">
        <v>116</v>
      </c>
      <c r="D27" s="185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79"/>
      <c r="AH27" s="79"/>
      <c r="AI27" s="79"/>
      <c r="AJ27" s="21">
        <f t="shared" si="3"/>
        <v>0</v>
      </c>
    </row>
    <row r="28" spans="1:36" ht="21" customHeight="1" x14ac:dyDescent="0.25">
      <c r="A28" s="20"/>
      <c r="B28" s="220"/>
      <c r="C28" s="225" t="s">
        <v>121</v>
      </c>
      <c r="D28" s="226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79"/>
      <c r="AH28" s="79"/>
      <c r="AI28" s="79"/>
      <c r="AJ28" s="21">
        <f t="shared" si="3"/>
        <v>0</v>
      </c>
    </row>
    <row r="29" spans="1:36" ht="21" customHeight="1" x14ac:dyDescent="0.25">
      <c r="A29" s="20"/>
      <c r="B29" s="220"/>
      <c r="C29" s="183" t="s">
        <v>120</v>
      </c>
      <c r="D29" s="22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79"/>
      <c r="AH29" s="79"/>
      <c r="AI29" s="79"/>
      <c r="AJ29" s="21">
        <f t="shared" si="3"/>
        <v>0</v>
      </c>
    </row>
    <row r="30" spans="1:36" ht="21" customHeight="1" x14ac:dyDescent="0.25">
      <c r="A30" s="20"/>
      <c r="B30" s="220"/>
      <c r="C30" s="183" t="s">
        <v>117</v>
      </c>
      <c r="D30" s="18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79"/>
      <c r="AH30" s="79"/>
      <c r="AI30" s="79"/>
      <c r="AJ30" s="21">
        <f t="shared" si="3"/>
        <v>0</v>
      </c>
    </row>
    <row r="31" spans="1:36" ht="21" customHeight="1" x14ac:dyDescent="0.25">
      <c r="A31" s="20"/>
      <c r="B31" s="220"/>
      <c r="C31" s="183" t="s">
        <v>118</v>
      </c>
      <c r="D31" s="185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79"/>
      <c r="AH31" s="79"/>
      <c r="AI31" s="79"/>
      <c r="AJ31" s="21">
        <f t="shared" si="3"/>
        <v>0</v>
      </c>
    </row>
    <row r="32" spans="1:36" ht="21" customHeight="1" x14ac:dyDescent="0.25">
      <c r="A32" s="20"/>
      <c r="B32" s="220"/>
      <c r="C32" s="183" t="s">
        <v>119</v>
      </c>
      <c r="D32" s="22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79"/>
      <c r="AH32" s="79"/>
      <c r="AI32" s="79"/>
      <c r="AJ32" s="21">
        <f t="shared" si="3"/>
        <v>0</v>
      </c>
    </row>
    <row r="33" spans="1:36" ht="21" customHeight="1" x14ac:dyDescent="0.25">
      <c r="A33" s="20"/>
      <c r="B33" s="220"/>
      <c r="C33" s="183" t="s">
        <v>111</v>
      </c>
      <c r="D33" s="18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79"/>
      <c r="AH33" s="79"/>
      <c r="AI33" s="79"/>
      <c r="AJ33" s="21">
        <f t="shared" si="3"/>
        <v>0</v>
      </c>
    </row>
    <row r="34" spans="1:36" ht="21" customHeight="1" thickBot="1" x14ac:dyDescent="0.3">
      <c r="A34" s="31"/>
      <c r="B34" s="221"/>
      <c r="C34" s="222" t="s">
        <v>112</v>
      </c>
      <c r="D34" s="223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80"/>
      <c r="AH34" s="80"/>
      <c r="AI34" s="80"/>
      <c r="AJ34" s="24">
        <f t="shared" si="3"/>
        <v>0</v>
      </c>
    </row>
    <row r="35" spans="1:36" ht="21" customHeight="1" thickTop="1" x14ac:dyDescent="0.25">
      <c r="A35" s="218" t="s">
        <v>38</v>
      </c>
      <c r="B35" s="219" t="s">
        <v>110</v>
      </c>
      <c r="C35" s="216" t="s">
        <v>101</v>
      </c>
      <c r="D35" s="217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83"/>
      <c r="AH35" s="83"/>
      <c r="AI35" s="83"/>
      <c r="AJ35" s="84">
        <f t="shared" si="3"/>
        <v>0</v>
      </c>
    </row>
    <row r="36" spans="1:36" ht="21" customHeight="1" x14ac:dyDescent="0.25">
      <c r="A36" s="206"/>
      <c r="B36" s="220"/>
      <c r="C36" s="183" t="s">
        <v>102</v>
      </c>
      <c r="D36" s="185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79"/>
      <c r="AH36" s="79"/>
      <c r="AI36" s="79"/>
      <c r="AJ36" s="21">
        <f t="shared" si="3"/>
        <v>0</v>
      </c>
    </row>
    <row r="37" spans="1:36" ht="21" customHeight="1" thickBot="1" x14ac:dyDescent="0.3">
      <c r="A37" s="187"/>
      <c r="B37" s="221"/>
      <c r="C37" s="222" t="s">
        <v>103</v>
      </c>
      <c r="D37" s="223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80"/>
      <c r="AH37" s="80"/>
      <c r="AI37" s="80"/>
      <c r="AJ37" s="24">
        <f t="shared" si="3"/>
        <v>0</v>
      </c>
    </row>
    <row r="38" spans="1:36" ht="21" customHeight="1" thickTop="1" x14ac:dyDescent="0.25">
      <c r="A38" s="218" t="s">
        <v>39</v>
      </c>
      <c r="B38" s="219" t="s">
        <v>104</v>
      </c>
      <c r="C38" s="216" t="s">
        <v>101</v>
      </c>
      <c r="D38" s="217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83"/>
      <c r="AH38" s="83"/>
      <c r="AI38" s="83"/>
      <c r="AJ38" s="84">
        <f t="shared" si="3"/>
        <v>0</v>
      </c>
    </row>
    <row r="39" spans="1:36" ht="21" customHeight="1" x14ac:dyDescent="0.25">
      <c r="A39" s="206"/>
      <c r="B39" s="220"/>
      <c r="C39" s="183" t="s">
        <v>102</v>
      </c>
      <c r="D39" s="185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79"/>
      <c r="AH39" s="79"/>
      <c r="AI39" s="79"/>
      <c r="AJ39" s="21">
        <f t="shared" si="3"/>
        <v>0</v>
      </c>
    </row>
    <row r="40" spans="1:36" ht="21" customHeight="1" thickBot="1" x14ac:dyDescent="0.3">
      <c r="A40" s="187"/>
      <c r="B40" s="221"/>
      <c r="C40" s="222" t="s">
        <v>103</v>
      </c>
      <c r="D40" s="22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85"/>
      <c r="AH40" s="85"/>
      <c r="AI40" s="85"/>
      <c r="AJ40" s="86">
        <f t="shared" si="3"/>
        <v>0</v>
      </c>
    </row>
    <row r="41" spans="1:36" ht="12.75" customHeight="1" thickTop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8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234" t="s">
        <v>86</v>
      </c>
      <c r="AF41" s="235"/>
      <c r="AG41" s="235"/>
      <c r="AH41" s="235"/>
      <c r="AI41" s="236"/>
      <c r="AJ41" s="33">
        <f>SUM(AJ12:AJ40)</f>
        <v>0</v>
      </c>
    </row>
    <row r="42" spans="1:36" ht="12.75" customHeight="1" x14ac:dyDescent="0.25">
      <c r="A42" s="34" t="s">
        <v>125</v>
      </c>
      <c r="B42" s="34"/>
      <c r="C42" s="34"/>
      <c r="D42" s="34"/>
      <c r="E42" s="17"/>
      <c r="F42" s="17"/>
      <c r="G42" s="17"/>
      <c r="H42" s="17"/>
      <c r="I42" s="17"/>
      <c r="J42" s="8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87"/>
      <c r="AG42" s="87"/>
      <c r="AH42" s="17"/>
      <c r="AI42" s="17"/>
      <c r="AJ42" s="17"/>
    </row>
    <row r="43" spans="1:36" ht="12.75" customHeight="1" x14ac:dyDescent="0.25">
      <c r="A43" s="35" t="s">
        <v>126</v>
      </c>
      <c r="B43" s="34"/>
      <c r="C43" s="34"/>
      <c r="D43" s="34"/>
      <c r="E43" s="17"/>
      <c r="F43" s="17"/>
      <c r="G43" s="17"/>
      <c r="H43" s="17"/>
      <c r="I43" s="17" t="s">
        <v>123</v>
      </c>
      <c r="J43" s="87"/>
      <c r="K43" s="17"/>
      <c r="L43" s="17"/>
      <c r="M43" s="200"/>
      <c r="N43" s="201"/>
      <c r="O43" s="201"/>
      <c r="P43" s="201"/>
      <c r="Q43" s="201"/>
      <c r="R43" s="201"/>
      <c r="S43" s="201"/>
      <c r="T43" s="201"/>
      <c r="U43" s="17"/>
      <c r="V43" s="17" t="s">
        <v>124</v>
      </c>
      <c r="W43" s="17"/>
      <c r="X43" s="17"/>
      <c r="Y43" s="17"/>
      <c r="Z43" s="200"/>
      <c r="AA43" s="201"/>
      <c r="AB43" s="201"/>
      <c r="AC43" s="201"/>
      <c r="AD43" s="201"/>
      <c r="AE43" s="201"/>
      <c r="AF43" s="201"/>
      <c r="AG43" s="17"/>
      <c r="AH43" s="17"/>
      <c r="AI43" s="17"/>
      <c r="AJ43" s="17"/>
    </row>
    <row r="44" spans="1:36" ht="24" customHeight="1" x14ac:dyDescent="0.25">
      <c r="A44" s="237" t="s">
        <v>127</v>
      </c>
      <c r="B44" s="196"/>
      <c r="C44" s="196"/>
      <c r="D44" s="196"/>
      <c r="E44" s="34"/>
      <c r="F44" s="34"/>
      <c r="G44" s="34"/>
      <c r="H44" s="17"/>
      <c r="I44" s="17"/>
      <c r="J44" s="8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87"/>
      <c r="AG44" s="87"/>
      <c r="AH44" s="17"/>
      <c r="AI44" s="17"/>
      <c r="AJ44" s="17"/>
    </row>
    <row r="45" spans="1:36" ht="12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8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87"/>
      <c r="AG45" s="87"/>
      <c r="AH45" s="17"/>
      <c r="AI45" s="17"/>
      <c r="AJ45" s="17"/>
    </row>
    <row r="46" spans="1:36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8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87"/>
      <c r="AG46" s="87"/>
      <c r="AH46" s="17"/>
      <c r="AI46" s="17"/>
      <c r="AJ46" s="17"/>
    </row>
    <row r="47" spans="1:36" ht="12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8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87"/>
      <c r="AG47" s="87"/>
      <c r="AH47" s="17"/>
      <c r="AI47" s="17"/>
      <c r="AJ47" s="17"/>
    </row>
    <row r="48" spans="1:36" ht="12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8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87"/>
      <c r="AG48" s="87"/>
      <c r="AH48" s="17"/>
      <c r="AI48" s="17"/>
      <c r="AJ48" s="17"/>
    </row>
    <row r="49" spans="1:36" ht="12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8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87"/>
      <c r="AG49" s="87"/>
      <c r="AH49" s="17"/>
      <c r="AI49" s="17"/>
      <c r="AJ49" s="17"/>
    </row>
    <row r="50" spans="1:36" ht="12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8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87"/>
      <c r="AG50" s="87"/>
      <c r="AH50" s="17"/>
      <c r="AI50" s="17"/>
      <c r="AJ50" s="17"/>
    </row>
    <row r="51" spans="1:36" ht="12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8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87"/>
      <c r="AG51" s="87"/>
      <c r="AH51" s="17"/>
      <c r="AI51" s="17"/>
      <c r="AJ51" s="17"/>
    </row>
    <row r="52" spans="1:36" ht="12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8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87"/>
      <c r="AG52" s="87"/>
      <c r="AH52" s="17"/>
      <c r="AI52" s="17"/>
      <c r="AJ52" s="17"/>
    </row>
    <row r="53" spans="1:36" ht="12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8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87"/>
      <c r="AG53" s="87"/>
      <c r="AH53" s="17"/>
      <c r="AI53" s="17"/>
      <c r="AJ53" s="17"/>
    </row>
    <row r="54" spans="1:36" ht="12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8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87"/>
      <c r="AG54" s="87"/>
      <c r="AH54" s="17"/>
      <c r="AI54" s="17"/>
      <c r="AJ54" s="17"/>
    </row>
    <row r="55" spans="1:36" ht="12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8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87"/>
      <c r="AG55" s="87"/>
      <c r="AH55" s="17"/>
      <c r="AI55" s="17"/>
      <c r="AJ55" s="17"/>
    </row>
    <row r="56" spans="1:36" ht="12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8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87"/>
      <c r="AG56" s="87"/>
      <c r="AH56" s="17"/>
      <c r="AI56" s="17"/>
      <c r="AJ56" s="17"/>
    </row>
    <row r="57" spans="1:36" ht="12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8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87"/>
      <c r="AG57" s="87"/>
      <c r="AH57" s="17"/>
      <c r="AI57" s="17"/>
      <c r="AJ57" s="17"/>
    </row>
    <row r="58" spans="1:36" ht="12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8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87"/>
      <c r="AG58" s="87"/>
      <c r="AH58" s="17"/>
      <c r="AI58" s="17"/>
      <c r="AJ58" s="17"/>
    </row>
    <row r="59" spans="1:36" ht="12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8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87"/>
      <c r="AG59" s="87"/>
      <c r="AH59" s="17"/>
      <c r="AI59" s="17"/>
      <c r="AJ59" s="17"/>
    </row>
    <row r="60" spans="1:36" ht="12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8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87"/>
      <c r="AG60" s="87"/>
      <c r="AH60" s="17"/>
      <c r="AI60" s="17"/>
      <c r="AJ60" s="17"/>
    </row>
    <row r="61" spans="1:36" ht="12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8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87"/>
      <c r="AG61" s="87"/>
      <c r="AH61" s="17"/>
      <c r="AI61" s="17"/>
      <c r="AJ61" s="17"/>
    </row>
    <row r="62" spans="1:36" ht="12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8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87"/>
      <c r="AG62" s="87"/>
      <c r="AH62" s="17"/>
      <c r="AI62" s="17"/>
      <c r="AJ62" s="17"/>
    </row>
    <row r="63" spans="1:36" ht="12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8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87"/>
      <c r="AG63" s="87"/>
      <c r="AH63" s="17"/>
      <c r="AI63" s="17"/>
      <c r="AJ63" s="17"/>
    </row>
    <row r="64" spans="1:36" ht="12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8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87"/>
      <c r="AG64" s="87"/>
      <c r="AH64" s="17"/>
      <c r="AI64" s="17"/>
      <c r="AJ64" s="17"/>
    </row>
    <row r="65" spans="1:36" ht="12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8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87"/>
      <c r="AG65" s="87"/>
      <c r="AH65" s="17"/>
      <c r="AI65" s="17"/>
      <c r="AJ65" s="17"/>
    </row>
    <row r="66" spans="1:36" ht="12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8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87"/>
      <c r="AG66" s="87"/>
      <c r="AH66" s="17"/>
      <c r="AI66" s="17"/>
      <c r="AJ66" s="17"/>
    </row>
    <row r="67" spans="1:36" ht="12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8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87"/>
      <c r="AG67" s="87"/>
      <c r="AH67" s="17"/>
      <c r="AI67" s="17"/>
      <c r="AJ67" s="17"/>
    </row>
    <row r="68" spans="1:36" ht="12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8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87"/>
      <c r="AG68" s="87"/>
      <c r="AH68" s="17"/>
      <c r="AI68" s="17"/>
      <c r="AJ68" s="17"/>
    </row>
    <row r="69" spans="1:36" ht="12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8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87"/>
      <c r="AG69" s="87"/>
      <c r="AH69" s="17"/>
      <c r="AI69" s="17"/>
      <c r="AJ69" s="17"/>
    </row>
    <row r="70" spans="1:36" ht="12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8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87"/>
      <c r="AG70" s="87"/>
      <c r="AH70" s="17"/>
      <c r="AI70" s="17"/>
      <c r="AJ70" s="17"/>
    </row>
    <row r="71" spans="1:36" ht="12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8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87"/>
      <c r="AG71" s="87"/>
      <c r="AH71" s="17"/>
      <c r="AI71" s="17"/>
      <c r="AJ71" s="17"/>
    </row>
    <row r="72" spans="1:36" ht="12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8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87"/>
      <c r="AG72" s="87"/>
      <c r="AH72" s="17"/>
      <c r="AI72" s="17"/>
      <c r="AJ72" s="17"/>
    </row>
    <row r="73" spans="1:36" ht="12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8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87"/>
      <c r="AG73" s="87"/>
      <c r="AH73" s="17"/>
      <c r="AI73" s="17"/>
      <c r="AJ73" s="17"/>
    </row>
    <row r="74" spans="1:36" ht="12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8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87"/>
      <c r="AG74" s="87"/>
      <c r="AH74" s="17"/>
      <c r="AI74" s="17"/>
      <c r="AJ74" s="17"/>
    </row>
    <row r="75" spans="1:36" ht="12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8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87"/>
      <c r="AG75" s="87"/>
      <c r="AH75" s="17"/>
      <c r="AI75" s="17"/>
      <c r="AJ75" s="17"/>
    </row>
    <row r="76" spans="1:36" ht="12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8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87"/>
      <c r="AG76" s="87"/>
      <c r="AH76" s="17"/>
      <c r="AI76" s="17"/>
      <c r="AJ76" s="17"/>
    </row>
    <row r="77" spans="1:36" ht="12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8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87"/>
      <c r="AG77" s="87"/>
      <c r="AH77" s="17"/>
      <c r="AI77" s="17"/>
      <c r="AJ77" s="17"/>
    </row>
    <row r="78" spans="1:36" ht="12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8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87"/>
      <c r="AG78" s="87"/>
      <c r="AH78" s="17"/>
      <c r="AI78" s="17"/>
      <c r="AJ78" s="17"/>
    </row>
    <row r="79" spans="1:36" ht="12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8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87"/>
      <c r="AG79" s="87"/>
      <c r="AH79" s="17"/>
      <c r="AI79" s="17"/>
      <c r="AJ79" s="17"/>
    </row>
    <row r="80" spans="1:36" ht="12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8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87"/>
      <c r="AG80" s="87"/>
      <c r="AH80" s="17"/>
      <c r="AI80" s="17"/>
      <c r="AJ80" s="17"/>
    </row>
    <row r="81" spans="1:36" ht="12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8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87"/>
      <c r="AG81" s="87"/>
      <c r="AH81" s="17"/>
      <c r="AI81" s="17"/>
      <c r="AJ81" s="17"/>
    </row>
    <row r="82" spans="1:36" ht="12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8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87"/>
      <c r="AG82" s="87"/>
      <c r="AH82" s="17"/>
      <c r="AI82" s="17"/>
      <c r="AJ82" s="17"/>
    </row>
    <row r="83" spans="1:36" ht="12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8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87"/>
      <c r="AG83" s="87"/>
      <c r="AH83" s="17"/>
      <c r="AI83" s="17"/>
      <c r="AJ83" s="17"/>
    </row>
    <row r="84" spans="1:36" ht="12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8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87"/>
      <c r="AG84" s="87"/>
      <c r="AH84" s="17"/>
      <c r="AI84" s="17"/>
      <c r="AJ84" s="17"/>
    </row>
    <row r="85" spans="1:36" ht="12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8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87"/>
      <c r="AG85" s="87"/>
      <c r="AH85" s="17"/>
      <c r="AI85" s="17"/>
      <c r="AJ85" s="17"/>
    </row>
    <row r="86" spans="1:36" ht="12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8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87"/>
      <c r="AG86" s="87"/>
      <c r="AH86" s="17"/>
      <c r="AI86" s="17"/>
      <c r="AJ86" s="17"/>
    </row>
    <row r="87" spans="1:36" ht="12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8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87"/>
      <c r="AG87" s="87"/>
      <c r="AH87" s="17"/>
      <c r="AI87" s="17"/>
      <c r="AJ87" s="17"/>
    </row>
    <row r="88" spans="1:36" ht="12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8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87"/>
      <c r="AG88" s="87"/>
      <c r="AH88" s="17"/>
      <c r="AI88" s="17"/>
      <c r="AJ88" s="17"/>
    </row>
    <row r="89" spans="1:36" ht="12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8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87"/>
      <c r="AG89" s="87"/>
      <c r="AH89" s="17"/>
      <c r="AI89" s="17"/>
      <c r="AJ89" s="17"/>
    </row>
    <row r="90" spans="1:36" ht="12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8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87"/>
      <c r="AG90" s="87"/>
      <c r="AH90" s="17"/>
      <c r="AI90" s="17"/>
      <c r="AJ90" s="17"/>
    </row>
    <row r="91" spans="1:36" ht="12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8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87"/>
      <c r="AG91" s="87"/>
      <c r="AH91" s="17"/>
      <c r="AI91" s="17"/>
      <c r="AJ91" s="17"/>
    </row>
    <row r="92" spans="1:36" ht="12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8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87"/>
      <c r="AG92" s="87"/>
      <c r="AH92" s="17"/>
      <c r="AI92" s="17"/>
      <c r="AJ92" s="17"/>
    </row>
    <row r="93" spans="1:36" ht="12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8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87"/>
      <c r="AG93" s="87"/>
      <c r="AH93" s="17"/>
      <c r="AI93" s="17"/>
      <c r="AJ93" s="17"/>
    </row>
    <row r="94" spans="1:36" ht="12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8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87"/>
      <c r="AG94" s="87"/>
      <c r="AH94" s="17"/>
      <c r="AI94" s="17"/>
      <c r="AJ94" s="17"/>
    </row>
    <row r="95" spans="1:36" ht="12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8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87"/>
      <c r="AG95" s="87"/>
      <c r="AH95" s="17"/>
      <c r="AI95" s="17"/>
      <c r="AJ95" s="17"/>
    </row>
    <row r="96" spans="1:36" ht="12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8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87"/>
      <c r="AG96" s="87"/>
      <c r="AH96" s="17"/>
      <c r="AI96" s="17"/>
      <c r="AJ96" s="17"/>
    </row>
    <row r="97" spans="1:36" ht="12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8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87"/>
      <c r="AG97" s="87"/>
      <c r="AH97" s="17"/>
      <c r="AI97" s="17"/>
      <c r="AJ97" s="17"/>
    </row>
    <row r="98" spans="1:36" ht="12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8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87"/>
      <c r="AG98" s="87"/>
      <c r="AH98" s="17"/>
      <c r="AI98" s="17"/>
      <c r="AJ98" s="17"/>
    </row>
    <row r="99" spans="1:36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8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87"/>
      <c r="AG99" s="87"/>
      <c r="AH99" s="17"/>
      <c r="AI99" s="17"/>
      <c r="AJ99" s="17"/>
    </row>
    <row r="100" spans="1:36" ht="12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8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87"/>
      <c r="AG100" s="87"/>
      <c r="AH100" s="17"/>
      <c r="AI100" s="17"/>
      <c r="AJ100" s="17"/>
    </row>
    <row r="101" spans="1:36" ht="15.75" customHeight="1" x14ac:dyDescent="0.25"/>
    <row r="102" spans="1:36" ht="15.75" customHeight="1" x14ac:dyDescent="0.25"/>
    <row r="103" spans="1:36" ht="15.75" customHeight="1" x14ac:dyDescent="0.25"/>
    <row r="104" spans="1:36" ht="15.75" customHeight="1" x14ac:dyDescent="0.25"/>
    <row r="105" spans="1:36" ht="15.75" customHeight="1" x14ac:dyDescent="0.25"/>
    <row r="106" spans="1:36" ht="15.75" customHeight="1" x14ac:dyDescent="0.25"/>
    <row r="107" spans="1:36" ht="15.75" customHeight="1" x14ac:dyDescent="0.25"/>
    <row r="108" spans="1:36" ht="15.75" customHeight="1" x14ac:dyDescent="0.25"/>
    <row r="109" spans="1:36" ht="15.75" customHeight="1" x14ac:dyDescent="0.25"/>
    <row r="110" spans="1:36" ht="15.75" customHeight="1" x14ac:dyDescent="0.25"/>
    <row r="111" spans="1:36" ht="15.75" customHeight="1" x14ac:dyDescent="0.25"/>
    <row r="112" spans="1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1">
    <mergeCell ref="AE41:AI41"/>
    <mergeCell ref="M43:T43"/>
    <mergeCell ref="Z43:AF43"/>
    <mergeCell ref="A44:D44"/>
    <mergeCell ref="A38:A40"/>
    <mergeCell ref="B38:B40"/>
    <mergeCell ref="C38:D38"/>
    <mergeCell ref="C39:D39"/>
    <mergeCell ref="C40:D40"/>
    <mergeCell ref="B13:D13"/>
    <mergeCell ref="B14:D14"/>
    <mergeCell ref="C15:C17"/>
    <mergeCell ref="C18:D18"/>
    <mergeCell ref="C19:D19"/>
    <mergeCell ref="C25:D25"/>
    <mergeCell ref="C26:D26"/>
    <mergeCell ref="C27:D27"/>
    <mergeCell ref="C28:D28"/>
    <mergeCell ref="B15:B34"/>
    <mergeCell ref="C29:D29"/>
    <mergeCell ref="C30:D30"/>
    <mergeCell ref="C31:D31"/>
    <mergeCell ref="C32:D32"/>
    <mergeCell ref="C33:D33"/>
    <mergeCell ref="C34:D34"/>
    <mergeCell ref="C20:D20"/>
    <mergeCell ref="C21:D21"/>
    <mergeCell ref="C22:D22"/>
    <mergeCell ref="C23:D23"/>
    <mergeCell ref="C24:D24"/>
    <mergeCell ref="C35:D35"/>
    <mergeCell ref="C36:D36"/>
    <mergeCell ref="A35:A37"/>
    <mergeCell ref="B35:B37"/>
    <mergeCell ref="C37:D37"/>
    <mergeCell ref="AB1:AD1"/>
    <mergeCell ref="AJ5:AJ7"/>
    <mergeCell ref="I1:U1"/>
    <mergeCell ref="V1:AA1"/>
    <mergeCell ref="A2:D2"/>
    <mergeCell ref="A3:D3"/>
    <mergeCell ref="L3:P3"/>
    <mergeCell ref="Q3:AA3"/>
    <mergeCell ref="E5:AI5"/>
    <mergeCell ref="A5:A7"/>
    <mergeCell ref="B5:D7"/>
    <mergeCell ref="B8:D8"/>
    <mergeCell ref="B9:D9"/>
    <mergeCell ref="A10:A11"/>
    <mergeCell ref="B10:C11"/>
    <mergeCell ref="B12:D12"/>
  </mergeCells>
  <pageMargins left="0.43307086614173229" right="0.39370078740157483" top="0.31496062992125984" bottom="0.31496062992125984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12d6fed-716a-4e7d-8193-1afeac597c3c" xsi:nil="true"/>
    <TaxCatchAll xmlns="a6e93acd-d2ef-4b8f-b0e5-9b97791a98e8" xsi:nil="true"/>
    <lcf76f155ced4ddcb4097134ff3c332f xmlns="c12d6fed-716a-4e7d-8193-1afeac597c3c">
      <Terms xmlns="http://schemas.microsoft.com/office/infopath/2007/PartnerControls"/>
    </lcf76f155ced4ddcb4097134ff3c332f>
    <OIB_x0028_tekst_x0029_ xmlns="c12d6fed-716a-4e7d-8193-1afeac597c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4DAB5D8CDDBD4BBEA3D7D54E53B3BE" ma:contentTypeVersion="20" ma:contentTypeDescription="Stvaranje novog dokumenta." ma:contentTypeScope="" ma:versionID="87d7343d7bc32971c5742eb4b70ce2e9">
  <xsd:schema xmlns:xsd="http://www.w3.org/2001/XMLSchema" xmlns:xs="http://www.w3.org/2001/XMLSchema" xmlns:p="http://schemas.microsoft.com/office/2006/metadata/properties" xmlns:ns2="c12d6fed-716a-4e7d-8193-1afeac597c3c" xmlns:ns3="a6e93acd-d2ef-4b8f-b0e5-9b97791a98e8" targetNamespace="http://schemas.microsoft.com/office/2006/metadata/properties" ma:root="true" ma:fieldsID="ccd2cd59f39315ba5a71f1ed121db8c1" ns2:_="" ns3:_="">
    <xsd:import namespace="c12d6fed-716a-4e7d-8193-1afeac597c3c"/>
    <xsd:import namespace="a6e93acd-d2ef-4b8f-b0e5-9b97791a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OIB_x0028_tekst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d6fed-716a-4e7d-8193-1afeac597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odjave" ma:internalName="Status_x0020_odjav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Oznake slika" ma:readOnly="false" ma:fieldId="{5cf76f15-5ced-4ddc-b409-7134ff3c332f}" ma:taxonomyMulti="true" ma:sspId="e6ab4614-dc75-4f0c-85c1-916d31316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IB_x0028_tekst_x0029_" ma:index="27" nillable="true" ma:displayName="OIB (tekst)" ma:format="Dropdown" ma:internalName="OIB_x0028_tekst_x002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93acd-d2ef-4b8f-b0e5-9b97791a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0c734c-57ef-4fee-a405-c416dc1c3328}" ma:internalName="TaxCatchAll" ma:showField="CatchAllData" ma:web="a6e93acd-d2ef-4b8f-b0e5-9b97791a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C82E45-BA85-4FF9-8960-2BB78A35C171}">
  <ds:schemaRefs>
    <ds:schemaRef ds:uri="http://schemas.microsoft.com/office/2006/metadata/properties"/>
    <ds:schemaRef ds:uri="http://schemas.microsoft.com/office/infopath/2007/PartnerControls"/>
    <ds:schemaRef ds:uri="c12d6fed-716a-4e7d-8193-1afeac597c3c"/>
    <ds:schemaRef ds:uri="a6e93acd-d2ef-4b8f-b0e5-9b97791a98e8"/>
  </ds:schemaRefs>
</ds:datastoreItem>
</file>

<file path=customXml/itemProps2.xml><?xml version="1.0" encoding="utf-8"?>
<ds:datastoreItem xmlns:ds="http://schemas.openxmlformats.org/officeDocument/2006/customXml" ds:itemID="{233B8827-4CC1-4763-B2F9-5767AD109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d6fed-716a-4e7d-8193-1afeac597c3c"/>
    <ds:schemaRef ds:uri="a6e93acd-d2ef-4b8f-b0e5-9b97791a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52C8BE-023A-4AF0-B5F8-160C4C738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2025</vt:lpstr>
      <vt:lpstr>General information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Human resources</vt:lpstr>
      <vt:lpstr>List1</vt:lpstr>
      <vt:lpstr>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Marija Brčić Čelhar</cp:lastModifiedBy>
  <cp:revision/>
  <dcterms:created xsi:type="dcterms:W3CDTF">2016-01-25T14:09:01Z</dcterms:created>
  <dcterms:modified xsi:type="dcterms:W3CDTF">2026-01-16T14:07:55Z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0x010100D04DAB5D8CDDBD4BBEA3D7D54E53B3BE</vt:lpwstr>
  </property>
  <property fmtid="{D5CDD505-2E9C-101B-9397-08002B2CF9AE}" pid="3" name="MediaServiceImageTags">
    <vt:lpwstr/>
  </property>
</Properties>
</file>